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04 - Ventanas\"/>
    </mc:Choice>
  </mc:AlternateContent>
  <xr:revisionPtr revIDLastSave="0" documentId="13_ncr:1_{CACA71AD-72CC-4DBF-BD4E-43EB7FFA9E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FINAL" sheetId="3" r:id="rId1"/>
    <sheet name="APU" sheetId="4" r:id="rId2"/>
    <sheet name="Hoja3" sheetId="8" r:id="rId3"/>
    <sheet name="Hoja2" sheetId="7" r:id="rId4"/>
    <sheet name="VOLUMENES" sheetId="6" r:id="rId5"/>
    <sheet name="MEMORIA CALCULO" sheetId="5" r:id="rId6"/>
    <sheet name="Hoja1" sheetId="1" state="hidden" r:id="rId7"/>
  </sheets>
  <externalReferences>
    <externalReference r:id="rId8"/>
  </externalReferences>
  <definedNames>
    <definedName name="_xlnm._FilterDatabase" localSheetId="0" hidden="1">'PRESUPUESTO FINAL'!$A$20:$G$188</definedName>
    <definedName name="_xlnm.Print_Area" localSheetId="1">APU!$A$1:$G$955</definedName>
    <definedName name="_xlnm.Print_Area" localSheetId="0">'PRESUPUESTO FINAL'!$A$3:$G$219</definedName>
    <definedName name="k">#REF!</definedName>
    <definedName name="PUERTASMETALICASENTRADADEAULA">'[1]ANALISIS DE COSTO'!$F$1553</definedName>
    <definedName name="_xlnm.Print_Titles" localSheetId="1">APU!$1:$13</definedName>
    <definedName name="_xlnm.Print_Titles" localSheetId="0">'PRESUPUESTO FINAL'!$3:$17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9" i="4" l="1"/>
  <c r="E880" i="4"/>
  <c r="C154" i="3" l="1"/>
  <c r="C149" i="3"/>
  <c r="F149" i="3" s="1"/>
  <c r="C152" i="3"/>
  <c r="F148" i="3"/>
  <c r="F150" i="3"/>
  <c r="F151" i="3"/>
  <c r="F153" i="3"/>
  <c r="E787" i="4"/>
  <c r="F653" i="4"/>
  <c r="E652" i="4"/>
  <c r="F652" i="4" s="1"/>
  <c r="E651" i="4"/>
  <c r="F651" i="4" s="1"/>
  <c r="E650" i="4"/>
  <c r="F650" i="4" s="1"/>
  <c r="E649" i="4"/>
  <c r="F649" i="4" s="1"/>
  <c r="E648" i="4"/>
  <c r="F648" i="4" s="1"/>
  <c r="E647" i="4"/>
  <c r="F647" i="4" s="1"/>
  <c r="E646" i="4"/>
  <c r="F646" i="4" s="1"/>
  <c r="E645" i="4"/>
  <c r="F645" i="4" s="1"/>
  <c r="F654" i="4" l="1"/>
  <c r="F179" i="4" l="1"/>
  <c r="F147" i="4"/>
  <c r="F130" i="4"/>
  <c r="F200" i="4"/>
  <c r="C122" i="3"/>
  <c r="D798" i="4"/>
  <c r="F52" i="3" s="1"/>
  <c r="F122" i="3" l="1"/>
  <c r="C121" i="3"/>
  <c r="C120" i="3"/>
  <c r="E878" i="4"/>
  <c r="E877" i="4"/>
  <c r="E874" i="4"/>
  <c r="E868" i="4"/>
  <c r="E869" i="4"/>
  <c r="E870" i="4"/>
  <c r="E871" i="4"/>
  <c r="E872" i="4"/>
  <c r="E873" i="4"/>
  <c r="E875" i="4"/>
  <c r="E876" i="4"/>
  <c r="E867" i="4"/>
  <c r="F170" i="3"/>
  <c r="F168" i="3"/>
  <c r="F169" i="3"/>
  <c r="F167" i="3"/>
  <c r="F186" i="3"/>
  <c r="F185" i="3"/>
  <c r="E881" i="4" l="1"/>
  <c r="E932" i="4"/>
  <c r="E933" i="4"/>
  <c r="E934" i="4"/>
  <c r="E935" i="4"/>
  <c r="E936" i="4"/>
  <c r="E931" i="4"/>
  <c r="E937" i="4" l="1"/>
  <c r="F184" i="3" s="1"/>
  <c r="C69" i="6" l="1"/>
  <c r="E69" i="6" s="1"/>
  <c r="G69" i="6" s="1"/>
  <c r="G389" i="4"/>
  <c r="E402" i="4"/>
  <c r="F402" i="4" s="1"/>
  <c r="E860" i="4"/>
  <c r="F860" i="4" s="1"/>
  <c r="E858" i="4"/>
  <c r="F858" i="4" s="1"/>
  <c r="E859" i="4"/>
  <c r="F859" i="4" s="1"/>
  <c r="E861" i="4"/>
  <c r="F861" i="4" s="1"/>
  <c r="E857" i="4"/>
  <c r="F857" i="4" s="1"/>
  <c r="E856" i="4"/>
  <c r="F856" i="4" s="1"/>
  <c r="E855" i="4"/>
  <c r="F855" i="4" s="1"/>
  <c r="E854" i="4"/>
  <c r="F854" i="4" s="1"/>
  <c r="E853" i="4"/>
  <c r="F853" i="4" s="1"/>
  <c r="E852" i="4"/>
  <c r="F852" i="4" s="1"/>
  <c r="E851" i="4"/>
  <c r="F851" i="4" s="1"/>
  <c r="E850" i="4"/>
  <c r="F850" i="4" s="1"/>
  <c r="E849" i="4"/>
  <c r="F849" i="4" s="1"/>
  <c r="F19" i="3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F862" i="4" l="1"/>
  <c r="E862" i="4"/>
  <c r="E835" i="4" l="1"/>
  <c r="B843" i="4"/>
  <c r="E843" i="4" s="1"/>
  <c r="B842" i="4"/>
  <c r="E842" i="4" s="1"/>
  <c r="B840" i="4"/>
  <c r="E840" i="4" s="1"/>
  <c r="B841" i="4"/>
  <c r="E841" i="4" s="1"/>
  <c r="B839" i="4"/>
  <c r="E839" i="4" s="1"/>
  <c r="B838" i="4"/>
  <c r="E838" i="4" s="1"/>
  <c r="B837" i="4"/>
  <c r="E837" i="4" s="1"/>
  <c r="B836" i="4"/>
  <c r="E836" i="4" s="1"/>
  <c r="F828" i="4"/>
  <c r="E827" i="4"/>
  <c r="F827" i="4" s="1"/>
  <c r="E826" i="4"/>
  <c r="F826" i="4" s="1"/>
  <c r="F822" i="4"/>
  <c r="F821" i="4"/>
  <c r="E820" i="4"/>
  <c r="F820" i="4" s="1"/>
  <c r="E819" i="4"/>
  <c r="F819" i="4" s="1"/>
  <c r="E844" i="4" l="1"/>
  <c r="F160" i="3" s="1"/>
  <c r="F829" i="4"/>
  <c r="F830" i="4" s="1"/>
  <c r="F823" i="4"/>
  <c r="F159" i="3" s="1"/>
  <c r="F183" i="3" l="1"/>
  <c r="F182" i="3"/>
  <c r="F181" i="3"/>
  <c r="F180" i="3"/>
  <c r="F179" i="3"/>
  <c r="C177" i="3"/>
  <c r="F175" i="3"/>
  <c r="F174" i="3"/>
  <c r="F173" i="3"/>
  <c r="F166" i="3"/>
  <c r="F165" i="3"/>
  <c r="F164" i="3"/>
  <c r="F163" i="3"/>
  <c r="F161" i="3"/>
  <c r="F162" i="3"/>
  <c r="F158" i="3"/>
  <c r="F157" i="3"/>
  <c r="F65" i="6"/>
  <c r="F64" i="6"/>
  <c r="I62" i="6"/>
  <c r="I64" i="6"/>
  <c r="I65" i="6" s="1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67" i="6" s="1"/>
  <c r="G51" i="6"/>
  <c r="I51" i="6"/>
  <c r="E380" i="4"/>
  <c r="F380" i="4" s="1"/>
  <c r="E401" i="4"/>
  <c r="F401" i="4" s="1"/>
  <c r="F438" i="4"/>
  <c r="E436" i="4"/>
  <c r="F436" i="4" s="1"/>
  <c r="E435" i="4"/>
  <c r="F435" i="4" s="1"/>
  <c r="E434" i="4"/>
  <c r="F434" i="4" s="1"/>
  <c r="E433" i="4"/>
  <c r="F433" i="4" s="1"/>
  <c r="E432" i="4"/>
  <c r="F432" i="4" s="1"/>
  <c r="E431" i="4"/>
  <c r="F431" i="4" s="1"/>
  <c r="E430" i="4"/>
  <c r="F430" i="4" s="1"/>
  <c r="E429" i="4"/>
  <c r="F429" i="4" s="1"/>
  <c r="E428" i="4"/>
  <c r="F428" i="4" s="1"/>
  <c r="E427" i="4"/>
  <c r="F427" i="4" s="1"/>
  <c r="E426" i="4"/>
  <c r="F426" i="4" s="1"/>
  <c r="F420" i="4"/>
  <c r="E418" i="4"/>
  <c r="F418" i="4" s="1"/>
  <c r="E417" i="4"/>
  <c r="F417" i="4" s="1"/>
  <c r="E416" i="4"/>
  <c r="F416" i="4" s="1"/>
  <c r="E415" i="4"/>
  <c r="F415" i="4" s="1"/>
  <c r="E414" i="4"/>
  <c r="F414" i="4" s="1"/>
  <c r="E413" i="4"/>
  <c r="F413" i="4" s="1"/>
  <c r="E412" i="4"/>
  <c r="F412" i="4" s="1"/>
  <c r="E411" i="4"/>
  <c r="F411" i="4" s="1"/>
  <c r="E410" i="4"/>
  <c r="F410" i="4" s="1"/>
  <c r="F408" i="4"/>
  <c r="F439" i="4" l="1"/>
  <c r="F440" i="4" s="1"/>
  <c r="F178" i="3" s="1"/>
  <c r="F421" i="4"/>
  <c r="F422" i="4" s="1"/>
  <c r="F177" i="3" s="1"/>
  <c r="F814" i="4" l="1"/>
  <c r="E812" i="4"/>
  <c r="F812" i="4" s="1"/>
  <c r="E811" i="4"/>
  <c r="F811" i="4" s="1"/>
  <c r="E810" i="4"/>
  <c r="F810" i="4" s="1"/>
  <c r="E809" i="4"/>
  <c r="F809" i="4" s="1"/>
  <c r="E808" i="4"/>
  <c r="F808" i="4" s="1"/>
  <c r="E807" i="4"/>
  <c r="F807" i="4" s="1"/>
  <c r="E806" i="4"/>
  <c r="F806" i="4" s="1"/>
  <c r="E805" i="4"/>
  <c r="F805" i="4" s="1"/>
  <c r="E804" i="4"/>
  <c r="F804" i="4" s="1"/>
  <c r="F802" i="4"/>
  <c r="E786" i="4"/>
  <c r="E785" i="4"/>
  <c r="E784" i="4"/>
  <c r="E783" i="4"/>
  <c r="F815" i="4" l="1"/>
  <c r="F816" i="4" s="1"/>
  <c r="F80" i="3"/>
  <c r="E800" i="4"/>
  <c r="F54" i="3" s="1"/>
  <c r="E782" i="4"/>
  <c r="E780" i="4"/>
  <c r="E779" i="4"/>
  <c r="E778" i="4"/>
  <c r="E777" i="4"/>
  <c r="E781" i="4"/>
  <c r="F53" i="3" l="1"/>
  <c r="E789" i="4"/>
  <c r="F51" i="3" s="1"/>
  <c r="F550" i="4" l="1"/>
  <c r="B533" i="4"/>
  <c r="B529" i="4"/>
  <c r="B531" i="4" s="1"/>
  <c r="B527" i="4"/>
  <c r="B524" i="4"/>
  <c r="B530" i="4" s="1"/>
  <c r="B537" i="4" s="1"/>
  <c r="B538" i="4" s="1"/>
  <c r="D539" i="4" s="1"/>
  <c r="E539" i="4" s="1"/>
  <c r="E540" i="4" s="1"/>
  <c r="E640" i="4"/>
  <c r="F640" i="4" s="1"/>
  <c r="E542" i="4" l="1"/>
  <c r="B532" i="4"/>
  <c r="E541" i="4" l="1"/>
  <c r="E546" i="4"/>
  <c r="F641" i="4" l="1"/>
  <c r="E639" i="4"/>
  <c r="F639" i="4" s="1"/>
  <c r="E638" i="4"/>
  <c r="F638" i="4" s="1"/>
  <c r="E637" i="4"/>
  <c r="F637" i="4" s="1"/>
  <c r="E636" i="4"/>
  <c r="F636" i="4" s="1"/>
  <c r="E635" i="4"/>
  <c r="F635" i="4" s="1"/>
  <c r="E634" i="4"/>
  <c r="F634" i="4" s="1"/>
  <c r="E633" i="4"/>
  <c r="F633" i="4" s="1"/>
  <c r="E632" i="4"/>
  <c r="F632" i="4" s="1"/>
  <c r="E631" i="4"/>
  <c r="F631" i="4" s="1"/>
  <c r="E630" i="4"/>
  <c r="F630" i="4" s="1"/>
  <c r="F642" i="4" l="1"/>
  <c r="F147" i="3" s="1"/>
  <c r="F626" i="4" l="1"/>
  <c r="E625" i="4"/>
  <c r="F625" i="4" s="1"/>
  <c r="E624" i="4"/>
  <c r="F624" i="4" s="1"/>
  <c r="E623" i="4"/>
  <c r="F623" i="4" s="1"/>
  <c r="E622" i="4"/>
  <c r="F622" i="4" s="1"/>
  <c r="E621" i="4"/>
  <c r="F621" i="4" s="1"/>
  <c r="E620" i="4"/>
  <c r="F620" i="4" s="1"/>
  <c r="E619" i="4"/>
  <c r="F619" i="4" s="1"/>
  <c r="E618" i="4"/>
  <c r="F618" i="4" s="1"/>
  <c r="F614" i="4"/>
  <c r="E613" i="4"/>
  <c r="F613" i="4" s="1"/>
  <c r="E612" i="4"/>
  <c r="F612" i="4" s="1"/>
  <c r="E611" i="4"/>
  <c r="F611" i="4" s="1"/>
  <c r="E610" i="4"/>
  <c r="F610" i="4" s="1"/>
  <c r="E609" i="4"/>
  <c r="F609" i="4" s="1"/>
  <c r="E608" i="4"/>
  <c r="F608" i="4" s="1"/>
  <c r="E607" i="4"/>
  <c r="F607" i="4" s="1"/>
  <c r="E606" i="4"/>
  <c r="F606" i="4" s="1"/>
  <c r="F602" i="4"/>
  <c r="E601" i="4"/>
  <c r="F601" i="4" s="1"/>
  <c r="E600" i="4"/>
  <c r="F600" i="4" s="1"/>
  <c r="E599" i="4"/>
  <c r="F599" i="4" s="1"/>
  <c r="E598" i="4"/>
  <c r="F598" i="4" s="1"/>
  <c r="E597" i="4"/>
  <c r="F597" i="4" s="1"/>
  <c r="E596" i="4"/>
  <c r="F596" i="4" s="1"/>
  <c r="E595" i="4"/>
  <c r="F595" i="4" s="1"/>
  <c r="E594" i="4"/>
  <c r="F594" i="4" s="1"/>
  <c r="F603" i="4" l="1"/>
  <c r="F154" i="3" s="1"/>
  <c r="F627" i="4"/>
  <c r="F615" i="4"/>
  <c r="C48" i="6" l="1"/>
  <c r="C45" i="6"/>
  <c r="E311" i="4"/>
  <c r="C44" i="6"/>
  <c r="C43" i="6"/>
  <c r="E306" i="4"/>
  <c r="E317" i="4"/>
  <c r="E310" i="4"/>
  <c r="E309" i="4"/>
  <c r="E307" i="4"/>
  <c r="E299" i="4"/>
  <c r="A59" i="3"/>
  <c r="A60" i="3" s="1"/>
  <c r="A61" i="3" s="1"/>
  <c r="A62" i="3" s="1"/>
  <c r="E295" i="4"/>
  <c r="E296" i="4"/>
  <c r="E297" i="4"/>
  <c r="E298" i="4"/>
  <c r="F259" i="4"/>
  <c r="C259" i="4"/>
  <c r="D259" i="4" s="1"/>
  <c r="E292" i="4"/>
  <c r="E291" i="4"/>
  <c r="D269" i="4" l="1"/>
  <c r="E282" i="4" l="1"/>
  <c r="E283" i="4"/>
  <c r="F271" i="4"/>
  <c r="F270" i="4"/>
  <c r="C263" i="4"/>
  <c r="D263" i="4" s="1"/>
  <c r="E290" i="4" s="1"/>
  <c r="C262" i="4"/>
  <c r="D262" i="4" s="1"/>
  <c r="C261" i="4"/>
  <c r="D261" i="4" s="1"/>
  <c r="E289" i="4" s="1"/>
  <c r="C260" i="4"/>
  <c r="D260" i="4" s="1"/>
  <c r="D281" i="4" s="1"/>
  <c r="C258" i="4"/>
  <c r="D258" i="4" s="1"/>
  <c r="C257" i="4"/>
  <c r="D257" i="4" s="1"/>
  <c r="D268" i="4" s="1"/>
  <c r="E281" i="4" l="1"/>
  <c r="D308" i="4"/>
  <c r="E308" i="4" s="1"/>
  <c r="F268" i="4"/>
  <c r="D279" i="4"/>
  <c r="E279" i="4" s="1"/>
  <c r="E269" i="4"/>
  <c r="F269" i="4" s="1"/>
  <c r="E280" i="4"/>
  <c r="E312" i="4" l="1"/>
  <c r="E321" i="4" s="1"/>
  <c r="E284" i="4"/>
  <c r="E293" i="4" s="1"/>
  <c r="F273" i="4"/>
  <c r="E294" i="4" s="1"/>
  <c r="C42" i="6"/>
  <c r="C108" i="3"/>
  <c r="F580" i="4"/>
  <c r="F579" i="4"/>
  <c r="A109" i="3"/>
  <c r="E301" i="4" l="1"/>
  <c r="F58" i="3" s="1"/>
  <c r="F581" i="4"/>
  <c r="F108" i="3" s="1"/>
  <c r="F589" i="4" l="1"/>
  <c r="B574" i="4"/>
  <c r="B575" i="4" s="1"/>
  <c r="F587" i="4" l="1"/>
  <c r="F588" i="4" l="1"/>
  <c r="G510" i="4" l="1"/>
  <c r="D501" i="4"/>
  <c r="F500" i="4"/>
  <c r="E499" i="4"/>
  <c r="F499" i="4" s="1"/>
  <c r="E498" i="4"/>
  <c r="F498" i="4" s="1"/>
  <c r="F508" i="4"/>
  <c r="E506" i="4"/>
  <c r="F506" i="4" s="1"/>
  <c r="E505" i="4"/>
  <c r="F505" i="4" s="1"/>
  <c r="E501" i="4" l="1"/>
  <c r="E507" i="4" s="1"/>
  <c r="F507" i="4" s="1"/>
  <c r="F509" i="4" s="1"/>
  <c r="E513" i="4" s="1"/>
  <c r="F501" i="4"/>
  <c r="F141" i="4" l="1"/>
  <c r="F158" i="4"/>
  <c r="F157" i="4"/>
  <c r="F152" i="4"/>
  <c r="E446" i="4"/>
  <c r="F446" i="4" s="1"/>
  <c r="E456" i="4"/>
  <c r="F456" i="4" s="1"/>
  <c r="E455" i="4"/>
  <c r="F455" i="4" s="1"/>
  <c r="F459" i="4"/>
  <c r="E454" i="4"/>
  <c r="F454" i="4" s="1"/>
  <c r="C48" i="3"/>
  <c r="C24" i="3"/>
  <c r="C17" i="6"/>
  <c r="C16" i="6"/>
  <c r="C13" i="6"/>
  <c r="C12" i="6"/>
  <c r="C11" i="6"/>
  <c r="F159" i="4" l="1"/>
  <c r="E453" i="4"/>
  <c r="F453" i="4" s="1"/>
  <c r="F460" i="4" s="1"/>
  <c r="E491" i="4" l="1"/>
  <c r="F491" i="4" s="1"/>
  <c r="E490" i="4"/>
  <c r="F490" i="4" s="1"/>
  <c r="E489" i="4"/>
  <c r="F489" i="4" s="1"/>
  <c r="E488" i="4"/>
  <c r="F488" i="4" s="1"/>
  <c r="E487" i="4"/>
  <c r="F487" i="4" s="1"/>
  <c r="E486" i="4"/>
  <c r="F486" i="4" s="1"/>
  <c r="E485" i="4"/>
  <c r="F493" i="4"/>
  <c r="B485" i="4"/>
  <c r="F485" i="4" l="1"/>
  <c r="F494" i="4" s="1"/>
  <c r="F482" i="4" l="1"/>
  <c r="E480" i="4"/>
  <c r="F480" i="4" s="1"/>
  <c r="E479" i="4"/>
  <c r="F479" i="4" s="1"/>
  <c r="E478" i="4"/>
  <c r="F478" i="4" s="1"/>
  <c r="E477" i="4"/>
  <c r="F477" i="4" s="1"/>
  <c r="E476" i="4"/>
  <c r="F476" i="4" s="1"/>
  <c r="E475" i="4"/>
  <c r="F475" i="4" s="1"/>
  <c r="E474" i="4"/>
  <c r="F474" i="4" s="1"/>
  <c r="F483" i="4" l="1"/>
  <c r="E464" i="4" l="1"/>
  <c r="B464" i="4"/>
  <c r="F470" i="4"/>
  <c r="E468" i="4"/>
  <c r="F468" i="4" s="1"/>
  <c r="E467" i="4"/>
  <c r="F467" i="4" s="1"/>
  <c r="E466" i="4"/>
  <c r="F466" i="4" s="1"/>
  <c r="F152" i="3" s="1"/>
  <c r="E465" i="4"/>
  <c r="F465" i="4" s="1"/>
  <c r="E463" i="4"/>
  <c r="F463" i="4" s="1"/>
  <c r="F448" i="4"/>
  <c r="E445" i="4"/>
  <c r="F445" i="4" s="1"/>
  <c r="E444" i="4"/>
  <c r="F464" i="4" l="1"/>
  <c r="F471" i="4" s="1"/>
  <c r="F444" i="4"/>
  <c r="F449" i="4" s="1"/>
  <c r="F74" i="3" s="1"/>
  <c r="G27" i="6" l="1"/>
  <c r="C40" i="6"/>
  <c r="B400" i="4" l="1"/>
  <c r="C387" i="4" l="1"/>
  <c r="B387" i="4"/>
  <c r="F404" i="4"/>
  <c r="E400" i="4"/>
  <c r="F400" i="4" s="1"/>
  <c r="E399" i="4"/>
  <c r="F399" i="4" s="1"/>
  <c r="E398" i="4"/>
  <c r="F398" i="4" s="1"/>
  <c r="E397" i="4"/>
  <c r="F397" i="4" s="1"/>
  <c r="E396" i="4"/>
  <c r="F396" i="4" s="1"/>
  <c r="E395" i="4"/>
  <c r="F395" i="4" s="1"/>
  <c r="E394" i="4"/>
  <c r="F394" i="4" s="1"/>
  <c r="E393" i="4"/>
  <c r="F393" i="4" s="1"/>
  <c r="E392" i="4"/>
  <c r="F392" i="4" s="1"/>
  <c r="E391" i="4"/>
  <c r="F391" i="4" s="1"/>
  <c r="E390" i="4"/>
  <c r="F390" i="4" s="1"/>
  <c r="F382" i="4"/>
  <c r="E379" i="4"/>
  <c r="F379" i="4" s="1"/>
  <c r="E378" i="4"/>
  <c r="F378" i="4" s="1"/>
  <c r="E377" i="4"/>
  <c r="F377" i="4" s="1"/>
  <c r="E376" i="4"/>
  <c r="F376" i="4" s="1"/>
  <c r="E375" i="4"/>
  <c r="F375" i="4" s="1"/>
  <c r="E374" i="4"/>
  <c r="F374" i="4" s="1"/>
  <c r="E373" i="4"/>
  <c r="F373" i="4" s="1"/>
  <c r="E372" i="4"/>
  <c r="F372" i="4" s="1"/>
  <c r="E371" i="4"/>
  <c r="F371" i="4" s="1"/>
  <c r="E370" i="4"/>
  <c r="F370" i="4" s="1"/>
  <c r="F357" i="4"/>
  <c r="B356" i="4"/>
  <c r="B352" i="4"/>
  <c r="B351" i="4"/>
  <c r="F178" i="4"/>
  <c r="F173" i="4"/>
  <c r="F174" i="4" s="1"/>
  <c r="F180" i="4" l="1"/>
  <c r="D387" i="4"/>
  <c r="F387" i="4" s="1"/>
  <c r="F405" i="4"/>
  <c r="F406" i="4" s="1"/>
  <c r="F383" i="4"/>
  <c r="F384" i="4" s="1"/>
  <c r="E333" i="4" l="1"/>
  <c r="F333" i="4" s="1"/>
  <c r="E341" i="4"/>
  <c r="E339" i="4"/>
  <c r="F339" i="4" s="1"/>
  <c r="E335" i="4"/>
  <c r="F335" i="4" s="1"/>
  <c r="E336" i="4"/>
  <c r="F336" i="4" s="1"/>
  <c r="E337" i="4"/>
  <c r="F337" i="4" s="1"/>
  <c r="E338" i="4"/>
  <c r="F338" i="4" s="1"/>
  <c r="E340" i="4"/>
  <c r="F340" i="4" s="1"/>
  <c r="E342" i="4"/>
  <c r="F342" i="4" s="1"/>
  <c r="F343" i="4"/>
  <c r="E334" i="4"/>
  <c r="F334" i="4" s="1"/>
  <c r="F185" i="4"/>
  <c r="F341" i="4" l="1"/>
  <c r="F248" i="4" l="1"/>
  <c r="F246" i="4"/>
  <c r="D236" i="4"/>
  <c r="F236" i="4" s="1"/>
  <c r="F214" i="4"/>
  <c r="G214" i="4"/>
  <c r="F213" i="4"/>
  <c r="G213" i="4"/>
  <c r="F238" i="4"/>
  <c r="G215" i="4" l="1"/>
  <c r="E217" i="4" s="1"/>
  <c r="F215" i="4"/>
  <c r="D217" i="4" s="1"/>
  <c r="F234" i="4"/>
  <c r="F228" i="4" l="1"/>
  <c r="F220" i="4"/>
  <c r="F219" i="4"/>
  <c r="F218" i="4"/>
  <c r="G218" i="4"/>
  <c r="B319" i="4" l="1"/>
  <c r="F253" i="4" l="1"/>
  <c r="F254" i="4" s="1"/>
  <c r="F255" i="4" s="1"/>
  <c r="F321" i="4"/>
  <c r="F320" i="4"/>
  <c r="F319" i="4"/>
  <c r="F318" i="4"/>
  <c r="F317" i="4"/>
  <c r="F47" i="3"/>
  <c r="F45" i="3"/>
  <c r="F46" i="3"/>
  <c r="F44" i="3"/>
  <c r="F208" i="4"/>
  <c r="F207" i="4"/>
  <c r="F206" i="4" l="1"/>
  <c r="F209" i="4" s="1"/>
  <c r="F322" i="4"/>
  <c r="C46" i="6" l="1"/>
  <c r="C47" i="6" s="1"/>
  <c r="F323" i="4"/>
  <c r="F201" i="4"/>
  <c r="F193" i="4"/>
  <c r="F186" i="4"/>
  <c r="F202" i="4" l="1"/>
  <c r="F194" i="4"/>
  <c r="F195" i="4" s="1"/>
  <c r="F184" i="4"/>
  <c r="F187" i="4" s="1"/>
  <c r="F203" i="4" l="1"/>
  <c r="F196" i="4"/>
  <c r="F189" i="4"/>
  <c r="F188" i="4"/>
  <c r="F168" i="4" l="1"/>
  <c r="F169" i="4" s="1"/>
  <c r="F163" i="4"/>
  <c r="F164" i="4" s="1"/>
  <c r="F151" i="4"/>
  <c r="F153" i="4" s="1"/>
  <c r="F146" i="4"/>
  <c r="F148" i="4" s="1"/>
  <c r="F142" i="4"/>
  <c r="F136" i="4"/>
  <c r="F137" i="4" s="1"/>
  <c r="F131" i="4"/>
  <c r="B129" i="4"/>
  <c r="F129" i="4" s="1"/>
  <c r="F128" i="4"/>
  <c r="F122" i="4"/>
  <c r="F123" i="4"/>
  <c r="F113" i="4"/>
  <c r="F42" i="4"/>
  <c r="F41" i="4"/>
  <c r="F35" i="3" l="1"/>
  <c r="F132" i="4"/>
  <c r="F121" i="4"/>
  <c r="F124" i="4" s="1"/>
  <c r="F39" i="3" l="1"/>
  <c r="F38" i="3"/>
  <c r="F43" i="3"/>
  <c r="F42" i="3"/>
  <c r="F41" i="3"/>
  <c r="F37" i="3"/>
  <c r="F36" i="3"/>
  <c r="F34" i="3"/>
  <c r="F32" i="3"/>
  <c r="F33" i="3"/>
  <c r="F31" i="3"/>
  <c r="F55" i="3"/>
  <c r="F21" i="4"/>
  <c r="F22" i="4" s="1"/>
  <c r="F21" i="3"/>
  <c r="C7" i="6" l="1"/>
  <c r="C27" i="3" s="1"/>
  <c r="F70" i="4"/>
  <c r="F71" i="4" s="1"/>
  <c r="F72" i="4" s="1"/>
  <c r="F61" i="4"/>
  <c r="F51" i="4"/>
  <c r="F36" i="4"/>
  <c r="F34" i="4"/>
  <c r="F33" i="4"/>
  <c r="C4" i="6"/>
  <c r="C5" i="6"/>
  <c r="C26" i="3" s="1"/>
  <c r="F35" i="4" l="1"/>
  <c r="F23" i="3" s="1"/>
  <c r="F107" i="4" l="1"/>
  <c r="F101" i="4"/>
  <c r="C78" i="4"/>
  <c r="D78" i="4" s="1"/>
  <c r="C79" i="4"/>
  <c r="D79" i="4" s="1"/>
  <c r="C80" i="4"/>
  <c r="D80" i="4" s="1"/>
  <c r="C81" i="4"/>
  <c r="D81" i="4" s="1"/>
  <c r="C82" i="4"/>
  <c r="D82" i="4" s="1"/>
  <c r="C77" i="4"/>
  <c r="D77" i="4" s="1"/>
  <c r="E86" i="4"/>
  <c r="G86" i="4" s="1"/>
  <c r="F85" i="4"/>
  <c r="E85" i="4"/>
  <c r="G85" i="4" s="1"/>
  <c r="F93" i="4" l="1"/>
  <c r="F92" i="4"/>
  <c r="F91" i="4"/>
  <c r="E91" i="4"/>
  <c r="G91" i="4" s="1"/>
  <c r="F86" i="4"/>
  <c r="F87" i="4" s="1"/>
  <c r="G87" i="4"/>
  <c r="E90" i="4" l="1"/>
  <c r="G90" i="4" s="1"/>
  <c r="G94" i="4" s="1"/>
  <c r="G217" i="4"/>
  <c r="G221" i="4" s="1"/>
  <c r="E226" i="4" s="1"/>
  <c r="E233" i="4" s="1"/>
  <c r="B88" i="4"/>
  <c r="E239" i="4" l="1"/>
  <c r="E245" i="4"/>
  <c r="F90" i="4"/>
  <c r="F94" i="4" s="1"/>
  <c r="D105" i="4" s="1"/>
  <c r="F217" i="4"/>
  <c r="F221" i="4" s="1"/>
  <c r="E99" i="4"/>
  <c r="E105" i="4"/>
  <c r="D99" i="4" l="1"/>
  <c r="F99" i="4" s="1"/>
  <c r="F102" i="4" s="1"/>
  <c r="F95" i="4"/>
  <c r="F222" i="4"/>
  <c r="D226" i="4"/>
  <c r="F105" i="4"/>
  <c r="F108" i="4" s="1"/>
  <c r="F62" i="4"/>
  <c r="F48" i="3" l="1"/>
  <c r="F59" i="3"/>
  <c r="F226" i="4"/>
  <c r="F229" i="4" s="1"/>
  <c r="D233" i="4"/>
  <c r="D245" i="4" s="1"/>
  <c r="F245" i="4" s="1"/>
  <c r="F249" i="4" s="1"/>
  <c r="F63" i="4"/>
  <c r="F50" i="3" l="1"/>
  <c r="F61" i="3"/>
  <c r="D239" i="4"/>
  <c r="F233" i="4"/>
  <c r="F241" i="4" s="1"/>
  <c r="F64" i="4"/>
  <c r="F49" i="3" l="1"/>
  <c r="F60" i="3"/>
  <c r="F65" i="4"/>
  <c r="F26" i="3" s="1"/>
  <c r="F66" i="4"/>
  <c r="F16" i="4"/>
  <c r="F17" i="4" s="1"/>
  <c r="F27" i="3"/>
  <c r="C114" i="3" l="1"/>
  <c r="F660" i="4" l="1"/>
  <c r="F659" i="4"/>
  <c r="F658" i="4"/>
  <c r="F72" i="3"/>
  <c r="A119" i="5"/>
  <c r="C119" i="5" s="1"/>
  <c r="C93" i="5"/>
  <c r="C92" i="5"/>
  <c r="C91" i="5"/>
  <c r="C90" i="5"/>
  <c r="C89" i="5"/>
  <c r="C88" i="5"/>
  <c r="C87" i="5"/>
  <c r="C86" i="5"/>
  <c r="C85" i="5"/>
  <c r="C84" i="5"/>
  <c r="C83" i="5"/>
  <c r="C117" i="5"/>
  <c r="C118" i="5"/>
  <c r="A115" i="5"/>
  <c r="C115" i="5" s="1"/>
  <c r="A116" i="5"/>
  <c r="C116" i="5" s="1"/>
  <c r="G106" i="5"/>
  <c r="F563" i="4"/>
  <c r="F564" i="4"/>
  <c r="F566" i="4" s="1"/>
  <c r="F562" i="4"/>
  <c r="F30" i="3"/>
  <c r="F661" i="4" l="1"/>
  <c r="C95" i="5"/>
  <c r="C69" i="3" s="1"/>
  <c r="C120" i="5"/>
  <c r="C71" i="3" s="1"/>
  <c r="F565" i="4"/>
  <c r="A57" i="3"/>
  <c r="F668" i="4"/>
  <c r="F667" i="4"/>
  <c r="F666" i="4"/>
  <c r="F134" i="3"/>
  <c r="F686" i="4"/>
  <c r="F687" i="4" s="1"/>
  <c r="F688" i="4" s="1"/>
  <c r="F680" i="4"/>
  <c r="F681" i="4" s="1"/>
  <c r="F682" i="4" s="1"/>
  <c r="F764" i="4"/>
  <c r="F765" i="4" s="1"/>
  <c r="F766" i="4" s="1"/>
  <c r="F758" i="4"/>
  <c r="F759" i="4" s="1"/>
  <c r="F760" i="4" s="1"/>
  <c r="F752" i="4"/>
  <c r="F753" i="4" s="1"/>
  <c r="F754" i="4" s="1"/>
  <c r="F746" i="4"/>
  <c r="F747" i="4" s="1"/>
  <c r="F748" i="4" s="1"/>
  <c r="F740" i="4"/>
  <c r="F741" i="4" s="1"/>
  <c r="F742" i="4" s="1"/>
  <c r="F734" i="4"/>
  <c r="F735" i="4" s="1"/>
  <c r="F728" i="4"/>
  <c r="F729" i="4" s="1"/>
  <c r="F730" i="4" s="1"/>
  <c r="F722" i="4"/>
  <c r="F723" i="4" s="1"/>
  <c r="F724" i="4" s="1"/>
  <c r="F716" i="4"/>
  <c r="F717" i="4" s="1"/>
  <c r="F718" i="4" s="1"/>
  <c r="F710" i="4"/>
  <c r="F711" i="4" s="1"/>
  <c r="F712" i="4" s="1"/>
  <c r="F704" i="4"/>
  <c r="F705" i="4" s="1"/>
  <c r="F706" i="4" s="1"/>
  <c r="F698" i="4"/>
  <c r="F699" i="4" s="1"/>
  <c r="F700" i="4" s="1"/>
  <c r="F692" i="4"/>
  <c r="F693" i="4" s="1"/>
  <c r="F694" i="4" s="1"/>
  <c r="F674" i="4"/>
  <c r="F675" i="4" s="1"/>
  <c r="A125" i="3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F662" i="4" l="1"/>
  <c r="F669" i="4"/>
  <c r="F62" i="3"/>
  <c r="G62" i="3" s="1"/>
  <c r="F129" i="3"/>
  <c r="F139" i="3"/>
  <c r="F138" i="3"/>
  <c r="F130" i="3"/>
  <c r="F140" i="3"/>
  <c r="F676" i="4"/>
  <c r="F125" i="3"/>
  <c r="F736" i="4"/>
  <c r="F135" i="3"/>
  <c r="F131" i="3"/>
  <c r="F136" i="3"/>
  <c r="F128" i="3"/>
  <c r="F132" i="3"/>
  <c r="F137" i="3"/>
  <c r="F133" i="3"/>
  <c r="F127" i="3"/>
  <c r="F126" i="3"/>
  <c r="A135" i="5"/>
  <c r="F114" i="4"/>
  <c r="F112" i="4"/>
  <c r="F52" i="4"/>
  <c r="F53" i="4"/>
  <c r="F54" i="4" l="1"/>
  <c r="F55" i="4" s="1"/>
  <c r="F25" i="3" s="1"/>
  <c r="F670" i="4"/>
  <c r="F115" i="4"/>
  <c r="F141" i="3"/>
  <c r="G141" i="3" s="1"/>
  <c r="C124" i="5"/>
  <c r="C125" i="5"/>
  <c r="C126" i="5"/>
  <c r="C127" i="5"/>
  <c r="C128" i="5"/>
  <c r="C129" i="5"/>
  <c r="C130" i="5"/>
  <c r="C131" i="5"/>
  <c r="A134" i="5"/>
  <c r="A132" i="5"/>
  <c r="A133" i="5" s="1"/>
  <c r="A123" i="5"/>
  <c r="C123" i="5" s="1"/>
  <c r="F144" i="3"/>
  <c r="A79" i="3"/>
  <c r="A80" i="3" s="1"/>
  <c r="A81" i="3" s="1"/>
  <c r="A82" i="3" s="1"/>
  <c r="C65" i="3"/>
  <c r="A67" i="3"/>
  <c r="A65" i="3"/>
  <c r="A84" i="3" l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8" i="3" s="1"/>
  <c r="A99" i="3" s="1"/>
  <c r="A100" i="3" s="1"/>
  <c r="F117" i="4"/>
  <c r="F116" i="4"/>
  <c r="C136" i="5"/>
  <c r="C137" i="5"/>
  <c r="F56" i="4"/>
  <c r="F346" i="4"/>
  <c r="F344" i="4"/>
  <c r="F345" i="4" s="1"/>
  <c r="C138" i="5" l="1"/>
  <c r="C109" i="3" s="1"/>
  <c r="F146" i="3"/>
  <c r="A102" i="3"/>
  <c r="A103" i="3" s="1"/>
  <c r="A104" i="3" s="1"/>
  <c r="A105" i="3" s="1"/>
  <c r="F549" i="4"/>
  <c r="F548" i="4"/>
  <c r="F547" i="4"/>
  <c r="F546" i="4"/>
  <c r="F519" i="4"/>
  <c r="F518" i="4"/>
  <c r="F517" i="4"/>
  <c r="F516" i="4"/>
  <c r="F515" i="4"/>
  <c r="F514" i="4"/>
  <c r="F513" i="4"/>
  <c r="B77" i="5"/>
  <c r="F65" i="3" l="1"/>
  <c r="G65" i="3" s="1"/>
  <c r="F551" i="4"/>
  <c r="F521" i="4"/>
  <c r="F520" i="4"/>
  <c r="F120" i="3" s="1"/>
  <c r="A111" i="3" l="1"/>
  <c r="F116" i="3"/>
  <c r="F115" i="3"/>
  <c r="F114" i="3"/>
  <c r="F113" i="3"/>
  <c r="F112" i="3"/>
  <c r="F117" i="3" l="1"/>
  <c r="G117" i="3" s="1"/>
  <c r="A112" i="3"/>
  <c r="A113" i="3" s="1"/>
  <c r="A114" i="3" s="1"/>
  <c r="A115" i="3" s="1"/>
  <c r="A116" i="3" s="1"/>
  <c r="A117" i="3" s="1"/>
  <c r="A119" i="3"/>
  <c r="A144" i="3" l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20" i="3"/>
  <c r="A121" i="3" s="1"/>
  <c r="A122" i="3" s="1"/>
  <c r="F105" i="3"/>
  <c r="F104" i="3"/>
  <c r="F103" i="3"/>
  <c r="F102" i="3"/>
  <c r="F100" i="3"/>
  <c r="F99" i="3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2" i="3"/>
  <c r="F81" i="3"/>
  <c r="F79" i="3"/>
  <c r="G105" i="3" l="1"/>
  <c r="B355" i="4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67" i="5"/>
  <c r="C66" i="5"/>
  <c r="C65" i="5"/>
  <c r="C64" i="5"/>
  <c r="C63" i="5"/>
  <c r="C62" i="5"/>
  <c r="C61" i="5"/>
  <c r="C60" i="5"/>
  <c r="C59" i="5"/>
  <c r="C58" i="5"/>
  <c r="C57" i="5"/>
  <c r="F28" i="3"/>
  <c r="F29" i="3"/>
  <c r="A80" i="5"/>
  <c r="F121" i="3" s="1"/>
  <c r="G122" i="3" s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2" i="5"/>
  <c r="C33" i="5"/>
  <c r="C34" i="5"/>
  <c r="C35" i="5"/>
  <c r="C42" i="5"/>
  <c r="C43" i="5"/>
  <c r="C44" i="5"/>
  <c r="C45" i="5"/>
  <c r="C46" i="5"/>
  <c r="C47" i="5"/>
  <c r="C48" i="5"/>
  <c r="C49" i="5"/>
  <c r="C50" i="5"/>
  <c r="C51" i="5"/>
  <c r="C52" i="5"/>
  <c r="C41" i="5"/>
  <c r="C54" i="5" l="1"/>
  <c r="C112" i="5"/>
  <c r="C70" i="3" s="1"/>
  <c r="C36" i="5"/>
  <c r="C17" i="5"/>
  <c r="C53" i="5"/>
  <c r="C70" i="5"/>
  <c r="C68" i="3" s="1"/>
  <c r="C69" i="5"/>
  <c r="F590" i="4" l="1"/>
  <c r="F571" i="4" l="1"/>
  <c r="F573" i="4" s="1"/>
  <c r="F570" i="4"/>
  <c r="F557" i="4"/>
  <c r="F559" i="4" s="1"/>
  <c r="F71" i="3" s="1"/>
  <c r="F556" i="4"/>
  <c r="F572" i="4" l="1"/>
  <c r="F558" i="4"/>
  <c r="F69" i="3" s="1"/>
  <c r="F40" i="3" l="1"/>
  <c r="F327" i="4"/>
  <c r="F328" i="4" s="1"/>
  <c r="F43" i="4"/>
  <c r="F44" i="4" s="1"/>
  <c r="F329" i="4" l="1"/>
  <c r="F45" i="4" l="1"/>
  <c r="F46" i="4"/>
  <c r="F29" i="4"/>
  <c r="F27" i="4"/>
  <c r="F26" i="4"/>
  <c r="F771" i="4"/>
  <c r="F770" i="4"/>
  <c r="F24" i="3" l="1"/>
  <c r="F28" i="4"/>
  <c r="F22" i="3" s="1"/>
  <c r="F772" i="4"/>
  <c r="F187" i="3" s="1"/>
  <c r="G187" i="3" s="1"/>
  <c r="B362" i="4"/>
  <c r="F362" i="4" s="1"/>
  <c r="F356" i="4"/>
  <c r="F352" i="4"/>
  <c r="B354" i="4"/>
  <c r="B359" i="4"/>
  <c r="F773" i="4" l="1"/>
  <c r="F359" i="4"/>
  <c r="F351" i="4"/>
  <c r="F363" i="4" l="1"/>
  <c r="F364" i="4" s="1"/>
  <c r="K26" i="1"/>
  <c r="K27" i="1"/>
  <c r="F365" i="4" l="1"/>
  <c r="K29" i="1"/>
  <c r="K30" i="1"/>
  <c r="G2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8" i="1"/>
  <c r="K4" i="1"/>
  <c r="F73" i="3" l="1"/>
  <c r="A68" i="3"/>
  <c r="F20" i="3"/>
  <c r="G55" i="3" s="1"/>
  <c r="A55" i="3"/>
  <c r="A69" i="3" l="1"/>
  <c r="A70" i="3" s="1"/>
  <c r="A71" i="3" s="1"/>
  <c r="A72" i="3" s="1"/>
  <c r="A73" i="3" s="1"/>
  <c r="K5" i="1" l="1"/>
  <c r="K6" i="1"/>
  <c r="K7" i="1"/>
  <c r="K8" i="1"/>
  <c r="K31" i="1" l="1"/>
  <c r="F70" i="3" s="1"/>
  <c r="F109" i="3" l="1"/>
  <c r="G109" i="3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 l="1"/>
  <c r="D5" i="1"/>
  <c r="D8" i="1"/>
  <c r="D9" i="1"/>
  <c r="D10" i="1"/>
  <c r="D4" i="1"/>
  <c r="D11" i="1" l="1"/>
  <c r="D12" i="1" s="1"/>
  <c r="F68" i="3" s="1"/>
  <c r="G74" i="3" s="1"/>
  <c r="G189" i="3" s="1"/>
  <c r="D13" i="1" l="1"/>
  <c r="D15" i="1" l="1"/>
  <c r="G198" i="3" l="1"/>
  <c r="G200" i="3" s="1"/>
</calcChain>
</file>

<file path=xl/sharedStrings.xml><?xml version="1.0" encoding="utf-8"?>
<sst xmlns="http://schemas.openxmlformats.org/spreadsheetml/2006/main" count="2079" uniqueCount="714">
  <si>
    <t>AREA VIDRIO</t>
  </si>
  <si>
    <t>templado</t>
  </si>
  <si>
    <t>bruto + laminado</t>
  </si>
  <si>
    <t>yubo 2x4</t>
  </si>
  <si>
    <t>Cantidad</t>
  </si>
  <si>
    <t>Unidad</t>
  </si>
  <si>
    <t>PARTIDAS GENERALES</t>
  </si>
  <si>
    <t>ud</t>
  </si>
  <si>
    <t>m2</t>
  </si>
  <si>
    <t>Muros existentes</t>
  </si>
  <si>
    <t xml:space="preserve">Sub-Total general </t>
  </si>
  <si>
    <t>Dirección Técnica</t>
  </si>
  <si>
    <t>Transporte</t>
  </si>
  <si>
    <t>CODIA</t>
  </si>
  <si>
    <t>ITBIS</t>
  </si>
  <si>
    <t>Sub-Total Gastos Indirectos</t>
  </si>
  <si>
    <t xml:space="preserve">Total General </t>
  </si>
  <si>
    <t>UD</t>
  </si>
  <si>
    <t>Limpieza continua y Final</t>
  </si>
  <si>
    <t>PINTURA</t>
  </si>
  <si>
    <t>M2</t>
  </si>
  <si>
    <t>MISCELANEOS</t>
  </si>
  <si>
    <t>SHEETROCK</t>
  </si>
  <si>
    <t>Gastos Administrativos</t>
  </si>
  <si>
    <t>Ley 6-86</t>
  </si>
  <si>
    <t>Muro sheet rock Doble cara en muros piso techo</t>
  </si>
  <si>
    <t>P2</t>
  </si>
  <si>
    <t xml:space="preserve">DIVISIONES </t>
  </si>
  <si>
    <t>Desmonte de luminaria y tuberias existente</t>
  </si>
  <si>
    <t>DESCRIPCION</t>
  </si>
  <si>
    <t>Cant</t>
  </si>
  <si>
    <t>REND</t>
  </si>
  <si>
    <t>P.U.</t>
  </si>
  <si>
    <t>TOTAL</t>
  </si>
  <si>
    <t>Volumen Analisis</t>
  </si>
  <si>
    <t>p2</t>
  </si>
  <si>
    <t>Materiales y equipos</t>
  </si>
  <si>
    <t>Perfil P-40 marco fijo con tapa Aluminio mate</t>
  </si>
  <si>
    <t>PL</t>
  </si>
  <si>
    <t>Tubo 1-3/4" x 1-3/4" aluminio mate</t>
  </si>
  <si>
    <t>Suministro de Vidrio Fjo 3/8 Natural</t>
  </si>
  <si>
    <t>Canteado de Vidrio Fijo</t>
  </si>
  <si>
    <t>pl</t>
  </si>
  <si>
    <t>Templado de Vidrio Fijo</t>
  </si>
  <si>
    <t>Conector escuadra Perfileria P-40</t>
  </si>
  <si>
    <t>Mano de Obra</t>
  </si>
  <si>
    <t>Miscelaneos</t>
  </si>
  <si>
    <t>Suministro e instalacion de Frost calidad Superior con Ancho de 60 pulgada</t>
  </si>
  <si>
    <t>%</t>
  </si>
  <si>
    <t>dia</t>
  </si>
  <si>
    <t>Uso de Herramientas y Miscelaneos</t>
  </si>
  <si>
    <t>Obrero no clasificado para demolicion 2 obrero x dia</t>
  </si>
  <si>
    <t>Limpieza continua y final de la obra</t>
  </si>
  <si>
    <t>Personal obrero</t>
  </si>
  <si>
    <t>Dia</t>
  </si>
  <si>
    <t xml:space="preserve">Uso Herramientas y equipos </t>
  </si>
  <si>
    <t>PA</t>
  </si>
  <si>
    <t>DEMOLICION DE MUROS DE PANDERETA EXISTENTE</t>
  </si>
  <si>
    <t>BOTE DE MATERIAL</t>
  </si>
  <si>
    <t>VIAJE</t>
  </si>
  <si>
    <t xml:space="preserve">Viaje </t>
  </si>
  <si>
    <t>DESMONTE DE LUMINARIA Y TUBERIAS EXISTENTES</t>
  </si>
  <si>
    <t xml:space="preserve">Suministro de materiales </t>
  </si>
  <si>
    <t>Suministro de puerta</t>
  </si>
  <si>
    <t>Suministro de Puerta incluye Cierre, Herraje, Cerradura y Pivot de Piso</t>
  </si>
  <si>
    <t>Ud</t>
  </si>
  <si>
    <t>gl</t>
  </si>
  <si>
    <t>Mt2</t>
  </si>
  <si>
    <t>ARCHIVO GENERAL DE LA NACION</t>
  </si>
  <si>
    <t>MUROS A DEMOLER</t>
  </si>
  <si>
    <t>MURO  MESETA</t>
  </si>
  <si>
    <t>PLAFON</t>
  </si>
  <si>
    <t>PISO 60X60</t>
  </si>
  <si>
    <t>ZOCALO</t>
  </si>
  <si>
    <t>m3</t>
  </si>
  <si>
    <t>MUROS VIDRIO FIJO EXISTENTE</t>
  </si>
  <si>
    <t>MUROS VIDRIO FIJO NUEVO</t>
  </si>
  <si>
    <t>ROJO</t>
  </si>
  <si>
    <t>AZUL</t>
  </si>
  <si>
    <t>CLIMATIZACION</t>
  </si>
  <si>
    <t>SUMINISTRO E INSTALACIONES MECANICAS DE HVAC</t>
  </si>
  <si>
    <t>UNIDADES SPLIT TIPO CONSOLA</t>
  </si>
  <si>
    <t>BREAKER THQP 20A/2 SIMILAR GE</t>
  </si>
  <si>
    <t>SISTEMA DE DUCTERIA</t>
  </si>
  <si>
    <t>PERFILES INVISIBLES</t>
  </si>
  <si>
    <t>BARRA ROSCADA</t>
  </si>
  <si>
    <t>EXPANSIONES HDI 1/4</t>
  </si>
  <si>
    <t>ANGULARES</t>
  </si>
  <si>
    <t>CINTAS P3</t>
  </si>
  <si>
    <t>CEMENTO P3</t>
  </si>
  <si>
    <t>GLS</t>
  </si>
  <si>
    <t>DIFUSOR LINEAL DE ALTO FLUJO DE AIRE AJUSTABLE 12"X12"</t>
  </si>
  <si>
    <t>DIFUSOR LINEAL DE ALTO FLUJO DE AIRE AJUSTABLE 10"X10"</t>
  </si>
  <si>
    <t>REJILLA DE RETORNO 12"X12"</t>
  </si>
  <si>
    <t>REJILLA DE RETORNO 14"X14"</t>
  </si>
  <si>
    <t>MATERIALES MISCELANEOS DE INSTALACION</t>
  </si>
  <si>
    <t>SISTEMA DE CONTROL</t>
  </si>
  <si>
    <t xml:space="preserve">TERMOSTATO INTELIGENTE PROGRAMABLE </t>
  </si>
  <si>
    <t>MATERIALES MISCELANEOS DE IINSTALACION</t>
  </si>
  <si>
    <t>SISTEMA DE DRENAJE</t>
  </si>
  <si>
    <t>CODOS PVC 3/4</t>
  </si>
  <si>
    <t>CEMENTO PVC</t>
  </si>
  <si>
    <t>MANO DE OBRA</t>
  </si>
  <si>
    <t>INSTALACIONES ELECTRICAS</t>
  </si>
  <si>
    <t>Suministro e instalación de interruptor sencillo</t>
  </si>
  <si>
    <t>Suministro e instalación de interruptor doble</t>
  </si>
  <si>
    <t>Suministro e instalación de tomacorriente</t>
  </si>
  <si>
    <t>p.a</t>
  </si>
  <si>
    <t xml:space="preserve">PISOS </t>
  </si>
  <si>
    <t>Suministro e Instalación de zócalos de porcelanato 10cmx60cm Color Crema, liso sin vetas, con separadores de 2 mm. para ser colocados en muros de planchas de yeso y muros de hormigón, incluye: materiales de instalación, pegamento (Líquido) para unir el material nuevo con el viejo, pegamento (en polvo) para cerámica y derretido y pegamento de silicón transparente y derretido. (Presentar  muestra).</t>
  </si>
  <si>
    <t>ML</t>
  </si>
  <si>
    <t>Colocación de Piso Porcelánico 0.60 x 0.60 mts.</t>
  </si>
  <si>
    <t>Mortero 1:2 imp. + 5% desp.</t>
  </si>
  <si>
    <t>Baldosas + 10% desp. Porcelanato 60x60 alto transito, antideslizante y todo masa</t>
  </si>
  <si>
    <t>Corte de chazos incluye Separadores 2mm</t>
  </si>
  <si>
    <t>u</t>
  </si>
  <si>
    <t>fda</t>
  </si>
  <si>
    <t>Estopa (1 lb. / 20 m2)</t>
  </si>
  <si>
    <t>lb</t>
  </si>
  <si>
    <t>Colocación</t>
  </si>
  <si>
    <t>Pegamento para concreto CB-606</t>
  </si>
  <si>
    <t>Zócalos de Porcelanato color crema</t>
  </si>
  <si>
    <t>Zócalos de porcelanato</t>
  </si>
  <si>
    <t>m</t>
  </si>
  <si>
    <t>Colocación zócalos porcelanato</t>
  </si>
  <si>
    <t>Miscelaneos para instalacion de Zocalos</t>
  </si>
  <si>
    <t>Cross tee 2' Top Top</t>
  </si>
  <si>
    <t>Cross tee 4' Top Top</t>
  </si>
  <si>
    <t>Main tee 12' Top Top</t>
  </si>
  <si>
    <t>Angular 10' Top Top</t>
  </si>
  <si>
    <t>Funda de clavo de acero 2.5 x 20 mm 100/1</t>
  </si>
  <si>
    <t>FDA</t>
  </si>
  <si>
    <t>Fulminante Verde Bluepoint Cal22</t>
  </si>
  <si>
    <t>Clavo de plafon 1 1/4"" Bluepoint L</t>
  </si>
  <si>
    <t>Alambre Rollo 1Lib. Cal. 16</t>
  </si>
  <si>
    <t>LB</t>
  </si>
  <si>
    <t xml:space="preserve">Total </t>
  </si>
  <si>
    <t>Total / M2</t>
  </si>
  <si>
    <t>PINTURA MURO</t>
  </si>
  <si>
    <t>PLAFOND</t>
  </si>
  <si>
    <t>PINTURA SANITADA MATE CODIGO COLOR 7006</t>
  </si>
  <si>
    <t>Primer Sanitada Superior Mate Codigo Color 7006</t>
  </si>
  <si>
    <t>ventana</t>
  </si>
  <si>
    <t>puerta</t>
  </si>
  <si>
    <t xml:space="preserve">ANALISIS DE COSTO READECUACION DE OFICINA DE CENACOD, UBICADO EN SEDE CENTRAL
</t>
  </si>
  <si>
    <t>Notas Generales:</t>
  </si>
  <si>
    <t>El imprevisto solo podrá ser usado previa autorización por escrito.</t>
  </si>
  <si>
    <t>Las partidas contenidas en este presupuesto deben de contemplar, la presencia de un ingeniero o arquitecto residente, de igual manera la seguridad en obra (reglamento 522-06 seguridad y salud en obra )* Incluye Botas, Chalecos, arnés, cascos.</t>
  </si>
  <si>
    <t>La partidas de pinturas, debe de considerarse el rapillado de las superficies y el masillado del 30% de las zonas a pintar.</t>
  </si>
  <si>
    <t>DESMANTELAMIENTO DE TECHO LISO SHEETROCK</t>
  </si>
  <si>
    <t>Ubicación:</t>
  </si>
  <si>
    <t>Archivo General de la Nación, Calle General Modesto Díaz, Zona Universitaria</t>
  </si>
  <si>
    <t>De Fecha:</t>
  </si>
  <si>
    <t>Unidad Ejecutora:</t>
  </si>
  <si>
    <t>Archivo General de la Nación</t>
  </si>
  <si>
    <t xml:space="preserve">Proyecto: </t>
  </si>
  <si>
    <t>Item No.</t>
  </si>
  <si>
    <t>Descripción</t>
  </si>
  <si>
    <t>P.U.RD$</t>
  </si>
  <si>
    <t>Valor RD$</t>
  </si>
  <si>
    <t>Sub-Total RD$</t>
  </si>
  <si>
    <t>Data:</t>
  </si>
  <si>
    <t>Registro NEMA 1 24''x24''x6''</t>
  </si>
  <si>
    <t>Registro NEMA 1 18''x18''x6''</t>
  </si>
  <si>
    <t>Registro NEMA 1, 12''x12''x6''</t>
  </si>
  <si>
    <t>Registro NEMA 1, 8''x8''x6''</t>
  </si>
  <si>
    <t>Tubo IMC Ø 3''</t>
  </si>
  <si>
    <t>p</t>
  </si>
  <si>
    <t>Tubo IMC Ø 2 1/2''</t>
  </si>
  <si>
    <t>Tubo IMC Ø 2''</t>
  </si>
  <si>
    <t>Tubo IMC Ø 1 1/2''</t>
  </si>
  <si>
    <t>Cable UTP Cat 6A</t>
  </si>
  <si>
    <t>Gigabit Switch 24 puertos POE</t>
  </si>
  <si>
    <t>Rack de pared 12U</t>
  </si>
  <si>
    <t>Pacht Panel 24 puertos</t>
  </si>
  <si>
    <t>Pacht Cord Cat 6</t>
  </si>
  <si>
    <t>Face plate de una salida</t>
  </si>
  <si>
    <t xml:space="preserve">Mini Jack </t>
  </si>
  <si>
    <t>Materiales misceláneos de instalación (sistema de soporte de escalerillla, coupling, conectores curvos y rectos, barras, abrazaderas, tubería IMC, registros)</t>
  </si>
  <si>
    <t>Mano de obra instalación.</t>
  </si>
  <si>
    <t>Materiales misceláneos de instalación</t>
  </si>
  <si>
    <t>Registro NEMA 1- 18''x18''x6''</t>
  </si>
  <si>
    <t>Miscelaneos de Instalacion</t>
  </si>
  <si>
    <t>Mano de Obra de Instalacion</t>
  </si>
  <si>
    <t>Cinta adhesiva "3M" (rollo)</t>
  </si>
  <si>
    <t>Lampara Led 2x2</t>
  </si>
  <si>
    <t>Mano de obra</t>
  </si>
  <si>
    <t>Suministro e instalacion Salida de lámpara led de plafond, 2'x2' tipo panel. 38w/80-240v/60hz/6000k-7000k, blanco frío (incluye lámpara).</t>
  </si>
  <si>
    <t>Panel P-C, 3F, 18 espacios, con barras de 125 amp. en aluminio. Compuesto por: MBK 60A/3, 6 BK. 30A/2 .</t>
  </si>
  <si>
    <t>Imprevisto</t>
  </si>
  <si>
    <t>HORMIGON ARMADO</t>
  </si>
  <si>
    <t xml:space="preserve">Acero </t>
  </si>
  <si>
    <t>qq</t>
  </si>
  <si>
    <t>M.O. acero</t>
  </si>
  <si>
    <t>pt</t>
  </si>
  <si>
    <t>M3</t>
  </si>
  <si>
    <t>Muro sheet rock Doble cara en muros piso techo con Aislante Acustico con Fibra Acustica</t>
  </si>
  <si>
    <t>Suministro de Aislante Acustico con Fibra Acustica  R11</t>
  </si>
  <si>
    <t>SHEETROCK CON AISLANTE</t>
  </si>
  <si>
    <t>MUROS SHEETROCK SOBRE MURO FIJO</t>
  </si>
  <si>
    <t xml:space="preserve">Suministro e instalacion de Extractor de Cocina de 32 cm x 32 Cm en Acero inoxidable 1400 RPM, 71 db, 0.35 Amp de consumo </t>
  </si>
  <si>
    <t>Desmantelamiento de techo liso en Sheetrock en area de entrada</t>
  </si>
  <si>
    <t>Suministro e Instalación de porcelanato 60cmx60cm Color Crema similar existente, liso sin vetas, con separadores de 2 mm. Incluye torta, materiales de instalación: pegamento para unir el material nuevo con el viejo (Liquido), pegamento para cerámica (en polvo) y derretido. Ver diseño (Presentar  muestra).</t>
  </si>
  <si>
    <t>Desmonte de puertas de polimetal</t>
  </si>
  <si>
    <t>Resane de muros</t>
  </si>
  <si>
    <t xml:space="preserve">Instalador de puerta </t>
  </si>
  <si>
    <t>Carpintero</t>
  </si>
  <si>
    <t xml:space="preserve">DESMONTE DE PUERTA DE POLIMETAL INCLUYE </t>
  </si>
  <si>
    <t>REMOCION DE PORCELANATO</t>
  </si>
  <si>
    <t>AREA</t>
  </si>
  <si>
    <t>RENDIMIENTO</t>
  </si>
  <si>
    <t>M2/D</t>
  </si>
  <si>
    <t>Obrero no clasificado para demolicion 1 obrero x dia</t>
  </si>
  <si>
    <t>MEZCLA DE PAÑETE CON PRECIOS  DE OCHOA</t>
  </si>
  <si>
    <t>MEZCLA DE EMPAÑETE:</t>
  </si>
  <si>
    <t>Arena fina + 2% desp.</t>
  </si>
  <si>
    <t>Cal hidratada (50 lbs.).</t>
  </si>
  <si>
    <t>COSTO/M3</t>
  </si>
  <si>
    <t>MORTERO 1:4 PARA EMPAÑETE:</t>
  </si>
  <si>
    <t>Mezcla de empañete + 3% desp.</t>
  </si>
  <si>
    <t>Cemento gris.</t>
  </si>
  <si>
    <t>Agua.</t>
  </si>
  <si>
    <t>Mano de obra mezclado (un peón).</t>
  </si>
  <si>
    <t>Fraguache</t>
  </si>
  <si>
    <t>Materiales</t>
  </si>
  <si>
    <t>Mortero 1:4 p/empañete + 30% desp., 0.5 mm. Esp. (Rendim. 200 m2 / m3)</t>
  </si>
  <si>
    <t>Cemento</t>
  </si>
  <si>
    <t>PRECIO</t>
  </si>
  <si>
    <t>Arena fina</t>
  </si>
  <si>
    <t>Cal hidratada</t>
  </si>
  <si>
    <t>Pegacol</t>
  </si>
  <si>
    <t>VOLUMENES</t>
  </si>
  <si>
    <t>Demolición de porcelanato: (3.40+1.13)*0.9+(4.09+2*0.9)*0.88</t>
  </si>
  <si>
    <t>Demolició de mesetas de hormigón: 3.40*1.13+4.09*0.90</t>
  </si>
  <si>
    <t>Desmontar fregaderos</t>
  </si>
  <si>
    <t>Desmontar puerta plegadiza</t>
  </si>
  <si>
    <t>Capataz</t>
  </si>
  <si>
    <t>REMOCION DE FREGADERO</t>
  </si>
  <si>
    <t xml:space="preserve">Plomero </t>
  </si>
  <si>
    <t>Volumen de resane: 9.26+(3.4+4.09)*0.15+(3+4)*0.2*0.85</t>
  </si>
  <si>
    <t>Demolicion de muros de pandereta existentes de sheetrock incluye desmontura de vidrios en muros</t>
  </si>
  <si>
    <t>Bigada de desmantelamiento (1 capataz+ 2 TNC)</t>
  </si>
  <si>
    <t>P/M2</t>
  </si>
  <si>
    <t>Andamio</t>
  </si>
  <si>
    <t>113,35</t>
  </si>
  <si>
    <t>Bote: (160*0.2)*1.5+7.52*0.12*1.5+9.26*0.03*1.5</t>
  </si>
  <si>
    <t>Suministro de herrajes para reintalación de puertas de cristal (Cierre de piso,cconector inferior T Rectangular GD, Conector Superior, Bisagras y Llavín)</t>
  </si>
  <si>
    <t>Desmonte de puertas de cristal flotantes existentes</t>
  </si>
  <si>
    <t>Desmonte de Vidrio Fijo existente al lado de las puetas de vidrio flotante.</t>
  </si>
  <si>
    <t xml:space="preserve">DESMONTE DE PUERTAS DE VIDRIO FLOTANTE </t>
  </si>
  <si>
    <t>DESMONTE DE PUERTA PLEGADIZA</t>
  </si>
  <si>
    <t>DEMOLICION DE MESETA DE HORMIGON ARMADO</t>
  </si>
  <si>
    <t xml:space="preserve">Apertura de Hueco en Area de Maquinarias incluye refuerzo con madera. </t>
  </si>
  <si>
    <t>Suministro de herrajes y mantenimiento de puertas P-40</t>
  </si>
  <si>
    <t>veces</t>
  </si>
  <si>
    <t>tanques</t>
  </si>
  <si>
    <t>Reinstalación de vidrios fijos existentes colocados en muro de sheetrock</t>
  </si>
  <si>
    <t>Suministro y , soldadura y colocación de ducto con tanques de 55 galones con base para sostenerlos para la llevar los escombros hasta el centro de acopio</t>
  </si>
  <si>
    <t>DESMONTE DE PUERTAS DE ALUMINIO Y VIDRIO P-40</t>
  </si>
  <si>
    <t>Jornales: RD$ 1800.00/d, 957.6/d</t>
  </si>
  <si>
    <t>Obrero no clasificado para demolicion 2 obrero x dia RD$ 9757.60/d: 2* 957.6= 1915.2/d</t>
  </si>
  <si>
    <t>Remoción de porcelanato en muros sobre mesetas existentes</t>
  </si>
  <si>
    <t>Resane con goma</t>
  </si>
  <si>
    <t>Desmantelamiento de ducterias para climatización</t>
  </si>
  <si>
    <t>DESMANTELAMIENTO DE DUCTERIAS PARA CLIMATIZACION</t>
  </si>
  <si>
    <t>Chiroquero</t>
  </si>
  <si>
    <t>APERTURA DE HUECO EN AREA DE MAQUINARIAS INCLUYE MADERA DE PINO TRATADO</t>
  </si>
  <si>
    <t>Madera de pino tratado: 1*4*16</t>
  </si>
  <si>
    <t xml:space="preserve">Clavos </t>
  </si>
  <si>
    <t>SUMINISTRO DE HERRAJES PARA PUERTA DE CRISTAL FLOTANTE</t>
  </si>
  <si>
    <t>Suministro de herrajes incluye cerradura</t>
  </si>
  <si>
    <t>SUMINISTRO DE HERRAJES PARA PUERTA P-40</t>
  </si>
  <si>
    <t>Suministro de herrajes incluye cerradura para puerta P-40 incluye mantenimiento</t>
  </si>
  <si>
    <t>REINSTALACION DE PUERTAS FLOTANTE</t>
  </si>
  <si>
    <t>Instalador de puertas de cristal</t>
  </si>
  <si>
    <t>REINSTALACION DE PUERTAS P-40</t>
  </si>
  <si>
    <t>DESMONTE DE VIDRIO FIJO COLOCADOS EN MUROS DE SHEETROCK</t>
  </si>
  <si>
    <t>Muro de boques de 0.15 m donde va colocado el transformador de piso y sistema eléctrico</t>
  </si>
  <si>
    <t>ml</t>
  </si>
  <si>
    <t>Dintel de sheetrock</t>
  </si>
  <si>
    <t>Bote de  escombros producto de demoliciones</t>
  </si>
  <si>
    <t>Pañete</t>
  </si>
  <si>
    <t>Cantos</t>
  </si>
  <si>
    <t>Reparación sheetrock</t>
  </si>
  <si>
    <t>Reparación de sheetrock</t>
  </si>
  <si>
    <t>Bigada de desmantelamiento (1.00 capataz+ 2 TNC)</t>
  </si>
  <si>
    <t>Desmonte y reintalación de 2 ventanas para traslado de escombros hasta el acopio de bote.</t>
  </si>
  <si>
    <t>Instalador de ventana</t>
  </si>
  <si>
    <t>TRASLADO DE ESCOMBROS HASTA DUCTO EN VENTANA</t>
  </si>
  <si>
    <t>2 TNC</t>
  </si>
  <si>
    <t>Equipos</t>
  </si>
  <si>
    <t>DUCTOS PARA SACAR ESCOMBROS HASTA CENTRO DE ACOPIO</t>
  </si>
  <si>
    <t>UND</t>
  </si>
  <si>
    <t xml:space="preserve">Mano de obra </t>
  </si>
  <si>
    <t>Total/UND</t>
  </si>
  <si>
    <t>Tanque de 55 galonesDUCTOS</t>
  </si>
  <si>
    <t>MESETA DE HORMIGON ARMADO 3/8 @ 0.10 e=0.10 mts</t>
  </si>
  <si>
    <t>Precio</t>
  </si>
  <si>
    <t>Materiales:</t>
  </si>
  <si>
    <t>Cemento gris</t>
  </si>
  <si>
    <t>Arena gruesa lavada</t>
  </si>
  <si>
    <r>
      <t>m</t>
    </r>
    <r>
      <rPr>
        <vertAlign val="superscript"/>
        <sz val="11"/>
        <rFont val="Arial"/>
        <family val="2"/>
      </rPr>
      <t>3</t>
    </r>
  </si>
  <si>
    <t xml:space="preserve">Grava </t>
  </si>
  <si>
    <t>Agua</t>
  </si>
  <si>
    <r>
      <t>Costo/m</t>
    </r>
    <r>
      <rPr>
        <b/>
        <vertAlign val="superscript"/>
        <sz val="11"/>
        <rFont val="Arial"/>
        <family val="2"/>
      </rPr>
      <t>3</t>
    </r>
  </si>
  <si>
    <t>Encofrado a todo costo</t>
  </si>
  <si>
    <t>Hormigón 210 Kg/cm2</t>
  </si>
  <si>
    <t>Pañete de muros</t>
  </si>
  <si>
    <t xml:space="preserve">Mortero 1:4 p/empañete + 30% desp., 1.5 mm. Esp. </t>
  </si>
  <si>
    <t>Regla (1 de 1"x4"x10' / 100 usos)</t>
  </si>
  <si>
    <t>Equipos y Herramientas</t>
  </si>
  <si>
    <t>Andamios metalicos</t>
  </si>
  <si>
    <t>Mortero 1:4 p/empañete + 30% desp., 0.5 mm Esp.</t>
  </si>
  <si>
    <t>Cantos y mochetas</t>
  </si>
  <si>
    <t>1Ayudante+1TC x dia</t>
  </si>
  <si>
    <t>Cajita Torn. P/EST. #7 de 7/16 punta fina (1lb)</t>
  </si>
  <si>
    <t>Plafon PVC 2 x 2 x 7mm</t>
  </si>
  <si>
    <t>Reinstalación de vidrios fijos de 3/8'' de espesor</t>
  </si>
  <si>
    <t>DESMONTE DE VIDRIO FIJO DE 3/8'' AL LADO DE PUERTAS FLOTANTE</t>
  </si>
  <si>
    <t>REINSTALACION DE VIDRIO FIJO COLOCADOS EN MUROS DE SHEETROCK</t>
  </si>
  <si>
    <t>REINSTALACION DE VIDRIO FIJO COLOCADOS AL LADO DE PUERTA DE VIDRIO FLOTANTE</t>
  </si>
  <si>
    <t>DESMONTE Y REINSTALACION DE VENTANAS PARA TIRAR ESCOMBROS HACIA EL ACOPIO POR DUCTO</t>
  </si>
  <si>
    <t>soldador</t>
  </si>
  <si>
    <t>Silicone</t>
  </si>
  <si>
    <t>tubos</t>
  </si>
  <si>
    <t>Estructuracion de Perfileria, la instalación se pagó aparte</t>
  </si>
  <si>
    <t xml:space="preserve">MATERIALES PARA REUTILIZACION DE VIDRIO FIJO </t>
  </si>
  <si>
    <t>MURO DE SHEETROCK DOBLE CARA</t>
  </si>
  <si>
    <t>Muro de sheetrock doble Cara c/ Perfilería de 2½", Cal. 20 y Planchas de 4 x 8 x ½" y fibras antifuego</t>
  </si>
  <si>
    <t xml:space="preserve">Muro de sheetrock doble Cara c/ Perfilería de 2½", Cal. 20 y Planchas de 4 x 8 x ½" </t>
  </si>
  <si>
    <t>CANTIDAD</t>
  </si>
  <si>
    <t>Plancha de yeso 4'x8'x1/2" Panel Rey ligera</t>
  </si>
  <si>
    <t>Perfil CGM 2 1/2" x 10' c-20</t>
  </si>
  <si>
    <t>Transversal CGM 2 1/2" x 10'</t>
  </si>
  <si>
    <t>Esquinero Metalico</t>
  </si>
  <si>
    <t>Masilla de yeso USG 5 GLS</t>
  </si>
  <si>
    <t>kg</t>
  </si>
  <si>
    <t>Sella Tape Nat Gyp 250' 20/CTN</t>
  </si>
  <si>
    <t>Cajita Torn. P/Plancha #6 1 1/4 (1lb)</t>
  </si>
  <si>
    <t>Fulminante Verde cal.22 Americano</t>
  </si>
  <si>
    <t>Pin 1" con arandela</t>
  </si>
  <si>
    <t>Fibra acustica antifuego</t>
  </si>
  <si>
    <t>Mano de Obra Instalacion Completa</t>
  </si>
  <si>
    <t>Plancha de yeso 4'x8'x1/2" (KNAUF)</t>
  </si>
  <si>
    <t>Total</t>
  </si>
  <si>
    <t>MURO DE SHEETROCK DOBLE CARA CON FIBRA ACUSTICA CORTAFUEGO</t>
  </si>
  <si>
    <t>FIBRA ACUSTICA ANTIFUEGO: 1 1/2''X 48''X100'</t>
  </si>
  <si>
    <t>HUECOS DE PURTAS</t>
  </si>
  <si>
    <t>Entrada a Jurídica</t>
  </si>
  <si>
    <t>Encargado de Jurídica</t>
  </si>
  <si>
    <t>Asistente de Jurídica</t>
  </si>
  <si>
    <t>Archivo de Jurídica</t>
  </si>
  <si>
    <t>Entrada a la parte posterior del local</t>
  </si>
  <si>
    <t>Encargado de Restauración</t>
  </si>
  <si>
    <t>Oficina de Cooperativa</t>
  </si>
  <si>
    <t>Entrada a Conservación</t>
  </si>
  <si>
    <t>Encargado de Conservación</t>
  </si>
  <si>
    <t>Asistenet de Conservación (ALBANIA)</t>
  </si>
  <si>
    <t>Técnico de Conservación</t>
  </si>
  <si>
    <t>Documentos Elecrónicos</t>
  </si>
  <si>
    <t>Desde Encargado de Restauración hasta área de Restauración</t>
  </si>
  <si>
    <t>Entrada a Restauración</t>
  </si>
  <si>
    <t>Hacia mesas de Restauración</t>
  </si>
  <si>
    <t>Entrada a Reintegradora y Laminadora</t>
  </si>
  <si>
    <t>Puera que une a espacios de Reitegradora y Laminadora</t>
  </si>
  <si>
    <t>Entrada a Campana extractor de aire químico</t>
  </si>
  <si>
    <t>TIPO</t>
  </si>
  <si>
    <t>Flotante</t>
  </si>
  <si>
    <t>P-40</t>
  </si>
  <si>
    <t>Polimetal</t>
  </si>
  <si>
    <t>EXISTEN</t>
  </si>
  <si>
    <t>S</t>
  </si>
  <si>
    <t>N</t>
  </si>
  <si>
    <t>NUEVA</t>
  </si>
  <si>
    <t>5</t>
  </si>
  <si>
    <t>4.07</t>
  </si>
  <si>
    <t xml:space="preserve">Suministro de puerta polimetalica </t>
  </si>
  <si>
    <t>Llavin inox. Tipo palanca</t>
  </si>
  <si>
    <t>Instalacion de puerta</t>
  </si>
  <si>
    <t xml:space="preserve">Puertas de polimetal </t>
  </si>
  <si>
    <t>Puertas de aluminio y vidrio tipo P 40 en entrada del personal de las siguientes dimensione: 1.10mx2.30m con un transon de 0.20m de alto</t>
  </si>
  <si>
    <t xml:space="preserve">Suministro de puerta comercial P40 completa, perfiles en aluminio anodizado </t>
  </si>
  <si>
    <t xml:space="preserve">Brazo automático.  </t>
  </si>
  <si>
    <t>Tirador decorativo en acero inoxidable</t>
  </si>
  <si>
    <t>Pata de chivo</t>
  </si>
  <si>
    <t>Tope de puerta</t>
  </si>
  <si>
    <t>Suministro e instalacion de Frost calidad Superior con Ancho de 60 pulgada en las dos caras</t>
  </si>
  <si>
    <t>Suministro de Puerta de Cristal Templado</t>
  </si>
  <si>
    <t>hojas</t>
  </si>
  <si>
    <t>Cierre de piso</t>
  </si>
  <si>
    <t>Conector inferior</t>
  </si>
  <si>
    <t>Conector superior puerta</t>
  </si>
  <si>
    <t>Cerradura puerta</t>
  </si>
  <si>
    <t>Pivot</t>
  </si>
  <si>
    <t>Tirador</t>
  </si>
  <si>
    <t xml:space="preserve">Instalación y transporte interno </t>
  </si>
  <si>
    <t>Puerta de vidrio flotante doble hoja de 1.00 m x 2.10 m, con vidrio templado de 1/2"y perfilería en acero.</t>
  </si>
  <si>
    <t>Puerta de vidrio flotante de 1.00mx2.10m</t>
  </si>
  <si>
    <t xml:space="preserve">Entrada al área: flotante doble hoja: </t>
  </si>
  <si>
    <t xml:space="preserve">Desmonte de puertas de cristal tipo P-40 </t>
  </si>
  <si>
    <t>Pañete: 2*2.39*2.40</t>
  </si>
  <si>
    <t>Cantos: 2*2.40+2*2.39</t>
  </si>
  <si>
    <t>Muro de block de 0.15m: 2.39*2.40</t>
  </si>
  <si>
    <t>Demolición adicional de sheetrock: 2.39*2.40</t>
  </si>
  <si>
    <t>Vigas de amare de 0.15x0.2 m: 1* 2.39*0.15*0.2</t>
  </si>
  <si>
    <t>REINSTALACION DE PUERTA POLIMETAL</t>
  </si>
  <si>
    <t>Puertas de polimetal con visor</t>
  </si>
  <si>
    <t>Tiradores U redondo de 160 mm</t>
  </si>
  <si>
    <t>Brazo hidraúlico</t>
  </si>
  <si>
    <t>Reinstalación de puerta polimetal con brazo hidraúlico</t>
  </si>
  <si>
    <t>Reinstalacion de puertas P-40 con brazo hidraúlico</t>
  </si>
  <si>
    <t>Reinstalacion de puertas flotantes con brazo hidraúlico</t>
  </si>
  <si>
    <t>Tornilleria, Tarugos, masilla y uso de herramientas</t>
  </si>
  <si>
    <t>Llavin inoxidable de puño de buena calidad</t>
  </si>
  <si>
    <t>Puerta polimetal con cerradura niquelada de puño, de buena calidad, con brazo hidráulico</t>
  </si>
  <si>
    <t>Mortero 1:10 (p/colocar pisos)</t>
  </si>
  <si>
    <t>gls</t>
  </si>
  <si>
    <t>Mezcla de cal y arena, P/Mortero colocación Piso</t>
  </si>
  <si>
    <t>M.O. ligado y manejo de mortero</t>
  </si>
  <si>
    <t>día</t>
  </si>
  <si>
    <t>UNIDAD</t>
  </si>
  <si>
    <t>Cal hidratada sin marca</t>
  </si>
  <si>
    <t>Mano de obra TNC</t>
  </si>
  <si>
    <t>und</t>
  </si>
  <si>
    <t>Arena lavada</t>
  </si>
  <si>
    <t>Cemento blanco de 88 lb</t>
  </si>
  <si>
    <t>Pintura de Muros Satinada Mate Codigo Color 7006</t>
  </si>
  <si>
    <t>Pintura Satinada Mate Código 7006 Sherwin Willians (cubeta)</t>
  </si>
  <si>
    <t>Costo del galón</t>
  </si>
  <si>
    <t>Aplicación (2 MANOS)</t>
  </si>
  <si>
    <t xml:space="preserve">Insumos </t>
  </si>
  <si>
    <t>RAPILLAR PINTURA EXISTENTE</t>
  </si>
  <si>
    <t>Materiales y equipos para rapillar</t>
  </si>
  <si>
    <t>Mano de obra de rapillar y masillar</t>
  </si>
  <si>
    <t>Rapillado pintura existente</t>
  </si>
  <si>
    <t>Muro de 15 cm para apoyar mesetas: 5*1</t>
  </si>
  <si>
    <t>Mezcla 1:3</t>
  </si>
  <si>
    <t>Arena gruesa ITABO (de mina)</t>
  </si>
  <si>
    <t xml:space="preserve">M.O. Mezclado rend.=2 m3 / dia </t>
  </si>
  <si>
    <t>Costo/m3</t>
  </si>
  <si>
    <t>Precio de cemento gris/funda</t>
  </si>
  <si>
    <t>Precio de arena lavada/m3</t>
  </si>
  <si>
    <t>Precio de grava</t>
  </si>
  <si>
    <t>Varilla de 3/8''x20'</t>
  </si>
  <si>
    <t>Varilla de 1/2''x20'</t>
  </si>
  <si>
    <t>Alambre dulce</t>
  </si>
  <si>
    <t>P.U. RD$</t>
  </si>
  <si>
    <t>Ligado y vaciado con ligadora</t>
  </si>
  <si>
    <t>BLOQUES EN MUROS DE 6"   S.N.P.</t>
  </si>
  <si>
    <r>
      <rPr>
        <sz val="11"/>
        <color indexed="8"/>
        <rFont val="Calibri"/>
        <family val="2"/>
      </rPr>
      <t>Ø</t>
    </r>
    <r>
      <rPr>
        <sz val="11"/>
        <color indexed="8"/>
        <rFont val="Arial"/>
        <family val="2"/>
      </rPr>
      <t xml:space="preserve"> 3/8</t>
    </r>
    <r>
      <rPr>
        <sz val="11"/>
        <color indexed="8"/>
        <rFont val="Calibri"/>
        <family val="2"/>
      </rPr>
      <t>"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>@ 0.80 m</t>
    </r>
  </si>
  <si>
    <t>Acero de 3/8'' fy=2,800 kg/cm²</t>
  </si>
  <si>
    <t>Alambre Dulce # 18</t>
  </si>
  <si>
    <t>lbs</t>
  </si>
  <si>
    <t>Bloques de hormigón (6*8*16)</t>
  </si>
  <si>
    <t>Madera de pino americana</t>
  </si>
  <si>
    <t>p²</t>
  </si>
  <si>
    <t>Hormigón  1:3:5 (140 Kg/Cm²)</t>
  </si>
  <si>
    <t>Mt³</t>
  </si>
  <si>
    <t>Mortero 1:3</t>
  </si>
  <si>
    <t>Itbis</t>
  </si>
  <si>
    <t>M.O. acarreo de bloques</t>
  </si>
  <si>
    <t>M.O. colocacion blocks de 6"</t>
  </si>
  <si>
    <t>Llenado de huecos</t>
  </si>
  <si>
    <t>unds</t>
  </si>
  <si>
    <t>Corte y amarre de acero</t>
  </si>
  <si>
    <t>Costo/m2</t>
  </si>
  <si>
    <t>Precio de arena itabo</t>
  </si>
  <si>
    <t>Hormigón 1:3:5 para recámara</t>
  </si>
  <si>
    <t>Aditivo thorobon</t>
  </si>
  <si>
    <t>Muros de bloques de 6'' para apollar las mesetas de hormigón armado, varillas 3/8'' @ 0.80 m y Thorobon</t>
  </si>
  <si>
    <t>Hormigón 1:3:5 para Meseta</t>
  </si>
  <si>
    <t>Meseta: (4.14+2.98)*1.00*0.1-4*1.22*1.00*0.1</t>
  </si>
  <si>
    <t>Subida del hormigón</t>
  </si>
  <si>
    <t>Area neta: (4.14+2.98)*1.00-4*1.22*1</t>
  </si>
  <si>
    <t>Area bruta: (4.14+2.98)*1.00</t>
  </si>
  <si>
    <t>Cantos en muro y meseta: 10*0.9+7.12*2</t>
  </si>
  <si>
    <t>Muro sheetrock Doble cara en muros piso techo con Fibra acustica BI R-11KA</t>
  </si>
  <si>
    <t>Muro sheetrock Doble cara en muros Sobre cristal fijo</t>
  </si>
  <si>
    <t>Muro sheetrock Doble cara en muros piso plafon</t>
  </si>
  <si>
    <t>PLAFONES PVC 2'X2</t>
  </si>
  <si>
    <t>Suministro y colocación de plafónd de PVC 2'x2'</t>
  </si>
  <si>
    <t>Puerta de polimetal con cerradura niquelada de puño, de buena calidad, con Visor, tiradores y brazo hidraúlico</t>
  </si>
  <si>
    <t>ITBIS 18% de la dirección ténica</t>
  </si>
  <si>
    <t xml:space="preserve">Arena gruesa </t>
  </si>
  <si>
    <t xml:space="preserve">Ligado y vaciado </t>
  </si>
  <si>
    <t>Tubo EMT  1/2"x10'</t>
  </si>
  <si>
    <t>Caja octagonal ½"</t>
  </si>
  <si>
    <t>Alambre #12 TW+ 5% desp.</t>
  </si>
  <si>
    <t>PIES</t>
  </si>
  <si>
    <t>Coupling EMT 1/2''</t>
  </si>
  <si>
    <t>Conector EMT 1/2''</t>
  </si>
  <si>
    <t>Expansiones HPS 1/4</t>
  </si>
  <si>
    <t>Suministro e instalación de TC UG</t>
  </si>
  <si>
    <t>TC de uso general</t>
  </si>
  <si>
    <t>Salidas luminaria en EMT</t>
  </si>
  <si>
    <t>Alambre de Goma 14/3</t>
  </si>
  <si>
    <t>Tapa metalica octagonal 1/2</t>
  </si>
  <si>
    <t>Conector UF de 1/2</t>
  </si>
  <si>
    <t>Interruptor sencillo b-ticcino</t>
  </si>
  <si>
    <t>Interruptor doble b-ticcino</t>
  </si>
  <si>
    <t>Materiales para reutilizacion de paño fijo existentes  en cristal de 3/8" templado , incluye  40% de accesorios nuevos: marcos en aluminio de 1 3/4" x 1 3/4" arriba y a los lados y perfilería P40 debajo de 1 3/4" x 4", moldura de presión para cristal de 3/8",  fijada al piso y en lateral a un muro. Incluir: perforaciones y confección de orificios en los perfiles metálicos para colocar las cajas eléctricas y data, Laminado Decorativo Frosteado.</t>
  </si>
  <si>
    <t>USAREMOS RD$ 2,500.00/M2 POR SER AREA MUY PEQUEÑA</t>
  </si>
  <si>
    <t>Derretido</t>
  </si>
  <si>
    <t>ZOCALOS DE PISO DE LA OFICINA PRINCIPAL</t>
  </si>
  <si>
    <t>TIPO DE LOSAS UTILIZADA: 0.6 mx0.6m</t>
  </si>
  <si>
    <t>AREA DE PISO POR LOSA: 0.6X0.6</t>
  </si>
  <si>
    <t xml:space="preserve">LOS ZOCALOS SON DE 0.10 m DE ALTO X 0.60 DE LARGO: </t>
  </si>
  <si>
    <t>LONGITUD TOTAL DE ZOCALOS</t>
  </si>
  <si>
    <t>CANTIDAD DE ZOCALOS COLOCADOS</t>
  </si>
  <si>
    <t>CANTIDAD DE ZOCALOS INCURRIENDO ROTURA</t>
  </si>
  <si>
    <t>CANTIDAD DE LOSAS POR METRO CUADRADO</t>
  </si>
  <si>
    <t>CANTIDAD DE LOSAS UTILIZADAS: 1.15*C661/6</t>
  </si>
  <si>
    <t>AREA DE PISO PARA ZOCALOS</t>
  </si>
  <si>
    <t>CANTIDAD DE ZOCALOS/ML</t>
  </si>
  <si>
    <t>DATOS SOBRE ZOCALOS DE PORCELANATO</t>
  </si>
  <si>
    <t>Costo del metro cuadrado de porcelanato</t>
  </si>
  <si>
    <t>De cada losa se obtienen 6  Zócalos de 0.10*0.60 m</t>
  </si>
  <si>
    <t>El costo de cada losa es: 1100.00/2.78</t>
  </si>
  <si>
    <t>El costo de cada zócalo es: 396/6</t>
  </si>
  <si>
    <t>Zócalos</t>
  </si>
  <si>
    <t>Costo de zócalo/ml</t>
  </si>
  <si>
    <t>Costo del ITBIS</t>
  </si>
  <si>
    <t>Costo de zócalo/ml sin ITBIS</t>
  </si>
  <si>
    <t>Pegamento para cerámica</t>
  </si>
  <si>
    <t>Remoción de Equipos</t>
  </si>
  <si>
    <t>Uds</t>
  </si>
  <si>
    <t>Freezer</t>
  </si>
  <si>
    <t>Depósitos químicos</t>
  </si>
  <si>
    <t>Extactor de químicos</t>
  </si>
  <si>
    <t>Reintegradora</t>
  </si>
  <si>
    <t>Campana Extractor de gases químicos</t>
  </si>
  <si>
    <t>Mesa de Acrílico</t>
  </si>
  <si>
    <t>Costo total</t>
  </si>
  <si>
    <t>Mano de obra electrica y materiales para distribuccion, Incluye ranurado, materiales de conduccion de alambrado y resane de muro a intervenir. Incluye traslado de materiales y equipos desinstalados</t>
  </si>
  <si>
    <t>Traslado provisional hacia el pasillo adyacente los vidrios y piezas de aluminio y volver a entrar para su colocación</t>
  </si>
  <si>
    <t xml:space="preserve">Cabina de de extractor en aluminio y vidrio templado de 3/8'' de espesor, según plano, incluir costo de la puerta pivotante con giro de 90 grados, con accesorios, llavines y tiradores </t>
  </si>
  <si>
    <t>Presupuesto  preparado por Análisis de Costos de Dirección de Ingeniería con los precios vigentes de los materiales y con la mano  de obra  actualizada por el Ministerio de Trabajo.</t>
  </si>
  <si>
    <t>Seguro y Fianza (Pagado por presentación de Facturas)</t>
  </si>
  <si>
    <t>Los volúmenes de los diferentes Ítems serán establecidos en cada cubicación</t>
  </si>
  <si>
    <t>Traslado e instalacion de Extractor de Cocina de 30 CM en Acero inoxidable 1400 RPM, 71 db, 0.35 Amp de consumo incluir instalacion, apertura de hueco, conductores electricos  y puesta en marcha. Se debera entregar la garantia del equipo con un minimo de 2 años de Garantia.</t>
  </si>
  <si>
    <t xml:space="preserve">READECUACION DE OFICINAS
</t>
  </si>
  <si>
    <t>En los precios alzados (PA) sus componentes deben estar desglosados en cada análisis de costo.</t>
  </si>
  <si>
    <t>Laminadora</t>
  </si>
  <si>
    <t>Guillotina mayor</t>
  </si>
  <si>
    <t>Guillotina intermedia</t>
  </si>
  <si>
    <t>Prensa</t>
  </si>
  <si>
    <t>Desinstalación de sistema eléctrico existente para ser reutilizado</t>
  </si>
  <si>
    <t xml:space="preserve">Desinstalación de sistema eléctrico existente en área actual de Restauración para se reutilizado    </t>
  </si>
  <si>
    <t>Traslado y reinstalación de Reintegradora desde 1er nivel hasta 2do nivel</t>
  </si>
  <si>
    <t>Traslado y reinstalación de Laminadora desde 1er nivel hasta 2do nivel</t>
  </si>
  <si>
    <t>Traslado y reinstalación de Guillotina mayor desde 1er nivel hasta 2do nivel</t>
  </si>
  <si>
    <t>Traslado y reinstalación de Guillotina mediana desde 1er nivel hasta 2do nivel</t>
  </si>
  <si>
    <t>Traslado y reinstalación de Prensa desde 1er nivel hasta 2do nivel</t>
  </si>
  <si>
    <t>AREA DE TECNOLOGIA</t>
  </si>
  <si>
    <t>AREA DE ENCUADERNACION</t>
  </si>
  <si>
    <t>RECEPCION DEL EDIFICIO</t>
  </si>
  <si>
    <t>Muro en denglass a doble cara</t>
  </si>
  <si>
    <t>Muro de Denglass doble Cara c/ Perfilería de 2½", Cal. 20 y Planchas de 4 x 8 x ½" y fibras antifuego</t>
  </si>
  <si>
    <t xml:space="preserve">Plancha de Denglass Goldyeso 4'x8'x5/8" </t>
  </si>
  <si>
    <t xml:space="preserve">Perfil 'Megamaster 3 5/8''x10' </t>
  </si>
  <si>
    <t>Transversal Megamaster 3 5/8''x10'</t>
  </si>
  <si>
    <t>gln</t>
  </si>
  <si>
    <t>Tornillos de piso y columnas</t>
  </si>
  <si>
    <t xml:space="preserve">Plafond en sheerock </t>
  </si>
  <si>
    <t xml:space="preserve">Techo en Sheetrock </t>
  </si>
  <si>
    <t>Plancha de yeso 4'x8'x1/2"</t>
  </si>
  <si>
    <t>Perfil CGM 2-1/2" x 10' c-22</t>
  </si>
  <si>
    <t>Cajita Torn. P/EST. #7 de 7/16 pta. final (1lb)</t>
  </si>
  <si>
    <t>Alambre</t>
  </si>
  <si>
    <t>Mano de Obra Instalacion sheetrock</t>
  </si>
  <si>
    <t>Muro de Denglass doble Cara c/ Perfilería de 2½", Cal. 20 y Planchas de 4 x 8 x 5/8"</t>
  </si>
  <si>
    <t>Salida eléctrica (Cambiar cable por nuevo # 12</t>
  </si>
  <si>
    <t>Interuptor triple</t>
  </si>
  <si>
    <t xml:space="preserve">Lámparas de barra Led </t>
  </si>
  <si>
    <t xml:space="preserve">Fascia </t>
  </si>
  <si>
    <t>Luz led en fascia</t>
  </si>
  <si>
    <t>AREA DE RESTAURACION</t>
  </si>
  <si>
    <t>Tubería IMC para compresor</t>
  </si>
  <si>
    <t>Longitud de tubería 1/2'': (10.50+4.09+11.17+1.61+2.20)</t>
  </si>
  <si>
    <t>Codos hg 1/2''</t>
  </si>
  <si>
    <t>Tee hg 1/2''</t>
  </si>
  <si>
    <t>Reducción copa 1/2''</t>
  </si>
  <si>
    <t>Niple hg 5''</t>
  </si>
  <si>
    <t>Niple hg 1''</t>
  </si>
  <si>
    <t>Válvula de 1/2''</t>
  </si>
  <si>
    <t>Codos PVC 1''</t>
  </si>
  <si>
    <t>Válvula 3/4''</t>
  </si>
  <si>
    <t>Adatador macho PVC 3/4''</t>
  </si>
  <si>
    <t>Codos PVC 3/4''</t>
  </si>
  <si>
    <t>Manguera plástica de 3/8''</t>
  </si>
  <si>
    <t>Reducción de 1/2'' @ 3/8''</t>
  </si>
  <si>
    <t>Tubería pvc drenaje de 1''</t>
  </si>
  <si>
    <t>Tubería IMC 1/2'', PVC, manguera transparente y piezas especiales</t>
  </si>
  <si>
    <t>Codo pvc de 1''</t>
  </si>
  <si>
    <t>Mano de obra de instalación</t>
  </si>
  <si>
    <t xml:space="preserve">p.a. </t>
  </si>
  <si>
    <t>Tuberías y piezas especiales de instalación sanitaria</t>
  </si>
  <si>
    <t>Mano de obra plomero</t>
  </si>
  <si>
    <t>Suministro e instalación de compresor de aire de 3 HP, 155 PSI, 7.7 CFM @ 40 PSI, y 5.7 CFM @ 90 PSI, incluyendo piezas para conexión y base de hormigon armado de o.60x0.60m y espesor de 0.10m</t>
  </si>
  <si>
    <t>BRAKER ge 20/1</t>
  </si>
  <si>
    <t>Colocar breaker</t>
  </si>
  <si>
    <t>pa</t>
  </si>
  <si>
    <t>Panel de Breakers para compresor (PA)</t>
  </si>
  <si>
    <t>Suministro  de Panel PA  a 120/240V, Barra de 125A, 2 espacios, 2 fases, NEMA 1</t>
  </si>
  <si>
    <t>Tape</t>
  </si>
  <si>
    <t>Alambre THNN ST 12</t>
  </si>
  <si>
    <t>Salida eléctrica del compresor de aire ambos equipos, incluye conexión desde sitema eléctrico existente en primer nivel</t>
  </si>
  <si>
    <t>Limpieza del área</t>
  </si>
  <si>
    <t>Caseta en bloques de 6'' de 2.40 de alto con una platea de 1.30m de ancho por 1.20 de profundidad de 0.15m de espesor y la losa de 0.12m de espesor pañetada y pintada</t>
  </si>
  <si>
    <t>Relleno compactado: 2*2*0.3</t>
  </si>
  <si>
    <t>CASETA PARA COMPRESOR: 1.3m*1.2m de 2.40 m de ALTO</t>
  </si>
  <si>
    <t>Platea: 1.3*1.2*0.15</t>
  </si>
  <si>
    <t>Bloques: 2* 1.3*1.2*2.4</t>
  </si>
  <si>
    <t>Losa: 1.3*1.2*0.12</t>
  </si>
  <si>
    <t>Fino</t>
  </si>
  <si>
    <t>Pañete: 2*2*1.2*2.4+1.2*1.6</t>
  </si>
  <si>
    <t>Cantos: 4*2.4+2*1.6+2*1.2</t>
  </si>
  <si>
    <t>Pintura: 13.44+(1.4+1.6)*2</t>
  </si>
  <si>
    <t>M</t>
  </si>
  <si>
    <t>Durmientes de 8'</t>
  </si>
  <si>
    <t>Parales de 10'</t>
  </si>
  <si>
    <t>Tornillos para planchas</t>
  </si>
  <si>
    <t>Clavos para sheetrock</t>
  </si>
  <si>
    <t>Fulminantes</t>
  </si>
  <si>
    <t>Cinta para masilla</t>
  </si>
  <si>
    <t>Masilla de cementin</t>
  </si>
  <si>
    <t>fdas</t>
  </si>
  <si>
    <t>Tornillos para estructura</t>
  </si>
  <si>
    <t>Confeccion e instalacion de sheetrock</t>
  </si>
  <si>
    <t>Acarreo interno</t>
  </si>
  <si>
    <t>p.a.</t>
  </si>
  <si>
    <t>Fascias de Sheetrock</t>
  </si>
  <si>
    <t>Planchas de Sheeetrock de 1/2"</t>
  </si>
  <si>
    <t>MANO DE OBRA PLOMERO</t>
  </si>
  <si>
    <t>Salidas de agua potable</t>
  </si>
  <si>
    <t>Salida drenaje 2''</t>
  </si>
  <si>
    <t>Tuberia de agua potable: (4+4.09+5.13+1.7+6)</t>
  </si>
  <si>
    <t xml:space="preserve">Tuberia de agua potable: </t>
  </si>
  <si>
    <t>Tubería de agua servida</t>
  </si>
  <si>
    <t>Tubo 2'' SDR-32</t>
  </si>
  <si>
    <t>Válvula 1/2''</t>
  </si>
  <si>
    <t>Ojo de Buey en Techo de Recepción de 6'', blanca, fija. E27</t>
  </si>
  <si>
    <t>LUZ LED EN TECHO DE RECEPCION</t>
  </si>
  <si>
    <t>Base</t>
  </si>
  <si>
    <t>Bombillo</t>
  </si>
  <si>
    <t>Mano deobra</t>
  </si>
  <si>
    <t xml:space="preserve">Tape </t>
  </si>
  <si>
    <t>Cable de vinilo 2.5mm, dos hilos</t>
  </si>
  <si>
    <t>Interruptor triple</t>
  </si>
  <si>
    <t>Alimentador de luces, THNN ST 12, incluye los retornos</t>
  </si>
  <si>
    <t>Bajante 3''</t>
  </si>
  <si>
    <t>Instalación de fregaderos</t>
  </si>
  <si>
    <t>Llave angular</t>
  </si>
  <si>
    <t>Niple 3/8''*2''</t>
  </si>
  <si>
    <t>Manguera flexible</t>
  </si>
  <si>
    <t>Sifon de fregadero</t>
  </si>
  <si>
    <t>Silicon</t>
  </si>
  <si>
    <t>PVC líquido</t>
  </si>
  <si>
    <t>CPVC líquido</t>
  </si>
  <si>
    <t>Tubos PVC 3/4'' SCH-41</t>
  </si>
  <si>
    <t>Tubos PVC 1/2'' SCH-41</t>
  </si>
  <si>
    <t>Tubo 2'' SDR-41</t>
  </si>
  <si>
    <t>Codo 2'' PVCx90</t>
  </si>
  <si>
    <t>Cubrefalta</t>
  </si>
  <si>
    <t>Llave de chorro de 1/2''</t>
  </si>
  <si>
    <t>Otros materiales</t>
  </si>
  <si>
    <t>Suministro e instalacion de fregadero en acero inoxidable de 1.22mx1.00m de 4'' de profundidad</t>
  </si>
  <si>
    <t>Calentador eléctrico 13Kw</t>
  </si>
  <si>
    <t>Desintalación de llave tipo manguera</t>
  </si>
  <si>
    <t>Mezcladora para fregadero cromada, cuadrada 036 CSCC</t>
  </si>
  <si>
    <t>Barra dezlizante con ducha 790026600</t>
  </si>
  <si>
    <t>Instalación de barradezlizante co ducha</t>
  </si>
  <si>
    <t>Llave de paso 3/4''</t>
  </si>
  <si>
    <t>Llave de paso 1/2''</t>
  </si>
  <si>
    <t>Salida eléctrica para calentador</t>
  </si>
  <si>
    <t>Mezcladora de fregadero</t>
  </si>
  <si>
    <t>Conexión de Reintegradora</t>
  </si>
  <si>
    <t>Otros menores</t>
  </si>
  <si>
    <t>Reparación con hormigón pulido y color donde se produzcan daños en los pisos de mosáico blanco y negro existentes</t>
  </si>
  <si>
    <t>INSTALACION DE UNIDAD TIPO MANEJADORA DE 10 TON</t>
  </si>
  <si>
    <t>CONDUCTOR DE GOMA AWG #18, 5 HILOS AMERICANO</t>
  </si>
  <si>
    <t>ANCLAJES</t>
  </si>
  <si>
    <t>CABLE DE GOMA AWG 8</t>
  </si>
  <si>
    <t>PLANCHAS DE POLIURETANO/ZINC P-3</t>
  </si>
  <si>
    <t>TUBO PVC 3/4 X 19'</t>
  </si>
  <si>
    <t>GLN</t>
  </si>
  <si>
    <t>Desmonte de Vidrios Fijos existentes en muros de sheetrock</t>
  </si>
  <si>
    <t>TRASLADO DE EQUIPOS HASTA 2DO NIVEL</t>
  </si>
  <si>
    <t>Caja de breakers G.E. con 2 breakers de 20 ámperes para compresor</t>
  </si>
  <si>
    <t>Prensa pequeña</t>
  </si>
  <si>
    <t>Traslado de los escobros hasta ventanas del lado este, la brigada está compuesta por (2TNC), incluye carretilla y palas</t>
  </si>
  <si>
    <t xml:space="preserve"> Materiales y equipos </t>
  </si>
  <si>
    <t>días</t>
  </si>
  <si>
    <t>Desinstalación de equipos en 1er nivel para posteriormente colocarlos en nuevo espacio del segundo piso. Listado de equipos están detallados en especificaciones</t>
  </si>
  <si>
    <t>Traslado de partes de los equipos de la partida anterior. Listado de equipos están detallados en especificaciones</t>
  </si>
  <si>
    <r>
      <rPr>
        <b/>
        <sz val="12"/>
        <color theme="1"/>
        <rFont val="Palatino Linotype"/>
        <family val="1"/>
      </rPr>
      <t>Letrero de Obra:</t>
    </r>
    <r>
      <rPr>
        <sz val="12"/>
        <color theme="1"/>
        <rFont val="Palatino Linotype"/>
        <family val="1"/>
      </rPr>
      <t xml:space="preserve">
♦ Dimensiones 10' x 16'
♦Material de Vynil (Impresión Full Color)
♦ Base Marco Perimetral Perfiles Aluminio 1 1/2" x 1 1/2"
♦ Columnas Soporte en Perfiles H.G. 2 1/2" x 2 1/2"  
♦  La base será suministrada por el AGN, solamente el arte instalado es         responsabilidad del oferente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</si>
  <si>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Demolicion de Mesetas en hormigón</t>
  </si>
  <si>
    <t>Masilla</t>
  </si>
  <si>
    <t>Meseta en Hormigon armado 3/8 @ 0.10, e=0.10 mts</t>
  </si>
  <si>
    <t>Alambre calibre #18 (¼ lb. / metro)</t>
  </si>
  <si>
    <t>Suministro e instalación de interruptor triple</t>
  </si>
  <si>
    <t>Vigas de amarre de 0.15m*0.20 con 2 varillas de 1/2'' abajo y 2 varillas de 3/8'' abajo y estribo de 3/8'' @ 0.20m</t>
  </si>
  <si>
    <t>Transformador</t>
  </si>
  <si>
    <t>Desmontar puerta de polimetal</t>
  </si>
  <si>
    <t>Demoler muro de sheetrock</t>
  </si>
  <si>
    <t>Reinstalación de puerta</t>
  </si>
  <si>
    <t>Bote de escombros</t>
  </si>
  <si>
    <t>Muro de sheetock a dos caras</t>
  </si>
  <si>
    <t>Traslados de escombros hacia el exterior</t>
  </si>
  <si>
    <t>d/h</t>
  </si>
  <si>
    <t>viajes</t>
  </si>
  <si>
    <t>07/11/2024</t>
  </si>
  <si>
    <t>Alimentación del Panel de Breakers y equipos</t>
  </si>
  <si>
    <t xml:space="preserve">Instalación llave tipo ducha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</si>
</sst>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  <numFmt numFmtId="165" formatCode="_(&quot;RD$&quot;* #,##0.00_);_(&quot;RD$&quot;* \(#,##0.00\);_(&quot;RD$&quot;* &quot;-&quot;??_);_(@_)"/>
    <numFmt numFmtId="166" formatCode="_-* #,##0.00_-;\-* #,##0.00_-;_-* &quot;-&quot;??_-;_-@_-"/>
    <numFmt numFmtId="167" formatCode="_-* #,##0.00\ _€_-;\-* #,##0.00\ _€_-;_-* &quot;-&quot;??\ _€_-;_-@_-"/>
    <numFmt numFmtId="168" formatCode="&quot;$&quot;#,##0.00"/>
    <numFmt numFmtId="169" formatCode="0.0%"/>
    <numFmt numFmtId="170" formatCode="_-[$€]* #,##0.00_-;\-[$€]* #,##0.00_-;_-[$€]* &quot;-&quot;??_-;_-@_-"/>
    <numFmt numFmtId="171" formatCode="_-* #,##0.00\ &quot;€&quot;_-;\-* #,##0.00\ &quot;€&quot;_-;_-* &quot;-&quot;??\ &quot;€&quot;_-;_-@_-"/>
    <numFmt numFmtId="172" formatCode="_([$€-2]* #,##0.00_);_([$€-2]* \(#,##0.00\);_([$€-2]* &quot;-&quot;??_)"/>
    <numFmt numFmtId="173" formatCode="#,##0.000"/>
    <numFmt numFmtId="174" formatCode="#,##0.00\ &quot;M³S&quot;"/>
    <numFmt numFmtId="175" formatCode="@\ &quot;:&quot;\ \ "/>
    <numFmt numFmtId="176" formatCode="#,##0.00\ &quot;KM&quot;"/>
    <numFmt numFmtId="177" formatCode="0.00_)"/>
    <numFmt numFmtId="178" formatCode="#,##0.000_);\(#,##0.000\)"/>
    <numFmt numFmtId="179" formatCode="_-* #,##0.00\ _P_t_s_-;\-* #,##0.00\ _P_t_s_-;_-* &quot;-&quot;??\ _P_t_s_-;_-@_-"/>
    <numFmt numFmtId="180" formatCode="_-* #,##0\ _P_t_s_-;\-* #,##0\ _P_t_s_-;_-* &quot;-&quot;??\ _P_t_s_-;_-@_-"/>
    <numFmt numFmtId="181" formatCode="_(* #,##0_);_(* \(#,##0\);_(* &quot;-&quot;??_);_(@_)"/>
    <numFmt numFmtId="182" formatCode="#,##0.0000"/>
    <numFmt numFmtId="183" formatCode="0.000"/>
    <numFmt numFmtId="184" formatCode="[$$-1C0A]#,##0.00"/>
    <numFmt numFmtId="185" formatCode="0.0000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b/>
      <sz val="16"/>
      <color rgb="FFFF0000"/>
      <name val="Book Antiqua"/>
      <family val="1"/>
    </font>
    <font>
      <b/>
      <sz val="16"/>
      <color theme="1"/>
      <name val="Calibri"/>
      <family val="2"/>
      <scheme val="minor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sz val="9"/>
      <color rgb="FFFF0000"/>
      <name val="Century Gothic"/>
      <family val="2"/>
    </font>
    <font>
      <sz val="9"/>
      <color rgb="FFFF0000"/>
      <name val="Calibri"/>
      <family val="2"/>
      <scheme val="minor"/>
    </font>
    <font>
      <sz val="11"/>
      <color rgb="FFFF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4"/>
      <color theme="1"/>
      <name val="Times New Roman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1"/>
      <name val="Century"/>
      <family val="1"/>
    </font>
    <font>
      <sz val="14"/>
      <color theme="1"/>
      <name val="Century"/>
      <family val="1"/>
    </font>
    <font>
      <b/>
      <i/>
      <sz val="16"/>
      <color theme="1"/>
      <name val="Century"/>
      <family val="1"/>
    </font>
    <font>
      <sz val="12"/>
      <name val="Book Antiqua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name val="Century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ndalus"/>
      <family val="1"/>
    </font>
    <font>
      <sz val="12"/>
      <name val="Andalus"/>
      <family val="1"/>
    </font>
    <font>
      <b/>
      <sz val="10"/>
      <name val="Andalus"/>
    </font>
    <font>
      <b/>
      <sz val="10"/>
      <name val="Andalus"/>
      <family val="1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indexed="36"/>
      <name val="MS Sans Serif"/>
      <family val="2"/>
    </font>
    <font>
      <sz val="10"/>
      <name val="Helv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8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8"/>
      <name val="Cambria"/>
      <family val="1"/>
    </font>
    <font>
      <b/>
      <sz val="18"/>
      <color indexed="62"/>
      <name val="Cambri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b/>
      <sz val="12"/>
      <color indexed="8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25" fillId="0" borderId="0"/>
    <xf numFmtId="0" fontId="1" fillId="0" borderId="0"/>
    <xf numFmtId="0" fontId="21" fillId="0" borderId="0"/>
    <xf numFmtId="0" fontId="3" fillId="0" borderId="0"/>
    <xf numFmtId="0" fontId="26" fillId="0" borderId="0"/>
    <xf numFmtId="0" fontId="27" fillId="0" borderId="0"/>
    <xf numFmtId="170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0" fontId="27" fillId="0" borderId="0"/>
    <xf numFmtId="0" fontId="1" fillId="0" borderId="0"/>
    <xf numFmtId="9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16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8" fillId="2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40" fillId="21" borderId="21" applyNumberFormat="0" applyAlignment="0" applyProtection="0"/>
    <xf numFmtId="0" fontId="40" fillId="21" borderId="21" applyNumberFormat="0" applyAlignment="0" applyProtection="0"/>
    <xf numFmtId="0" fontId="40" fillId="21" borderId="21" applyNumberFormat="0" applyAlignment="0" applyProtection="0"/>
    <xf numFmtId="0" fontId="40" fillId="21" borderId="21" applyNumberFormat="0" applyAlignment="0" applyProtection="0"/>
    <xf numFmtId="0" fontId="41" fillId="22" borderId="22" applyNumberFormat="0" applyAlignment="0" applyProtection="0"/>
    <xf numFmtId="0" fontId="41" fillId="22" borderId="22" applyNumberFormat="0" applyAlignment="0" applyProtection="0"/>
    <xf numFmtId="0" fontId="41" fillId="22" borderId="22" applyNumberFormat="0" applyAlignment="0" applyProtection="0"/>
    <xf numFmtId="0" fontId="42" fillId="0" borderId="23" applyNumberFormat="0" applyFill="0" applyAlignment="0" applyProtection="0"/>
    <xf numFmtId="0" fontId="42" fillId="0" borderId="23" applyNumberFormat="0" applyFill="0" applyAlignment="0" applyProtection="0"/>
    <xf numFmtId="0" fontId="42" fillId="0" borderId="23" applyNumberFormat="0" applyFill="0" applyAlignment="0" applyProtection="0"/>
    <xf numFmtId="0" fontId="41" fillId="22" borderId="22" applyNumberFormat="0" applyAlignment="0" applyProtection="0"/>
    <xf numFmtId="0" fontId="3" fillId="0" borderId="0" applyFont="0" applyFill="0" applyBorder="0" applyAlignment="0" applyProtection="0"/>
    <xf numFmtId="4" fontId="43" fillId="23" borderId="0" applyNumberFormat="0" applyBorder="0" applyAlignment="0" applyProtection="0">
      <alignment horizontal="center"/>
    </xf>
    <xf numFmtId="4" fontId="43" fillId="24" borderId="0" applyNumberFormat="0" applyBorder="0" applyAlignment="0" applyProtection="0">
      <alignment horizontal="center"/>
    </xf>
    <xf numFmtId="4" fontId="43" fillId="24" borderId="0" applyNumberFormat="0" applyBorder="0" applyAlignment="0" applyProtection="0">
      <alignment horizont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45" fillId="12" borderId="21" applyNumberFormat="0" applyAlignment="0" applyProtection="0"/>
    <xf numFmtId="0" fontId="45" fillId="12" borderId="21" applyNumberFormat="0" applyAlignment="0" applyProtection="0"/>
    <xf numFmtId="0" fontId="45" fillId="12" borderId="21" applyNumberFormat="0" applyAlignment="0" applyProtection="0"/>
    <xf numFmtId="171" fontId="3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4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9" fillId="0" borderId="0" applyFill="0" applyBorder="0" applyAlignment="0" applyProtection="0">
      <alignment vertical="top"/>
      <protection locked="0"/>
    </xf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45" fillId="12" borderId="21" applyNumberFormat="0" applyAlignment="0" applyProtection="0"/>
    <xf numFmtId="0" fontId="42" fillId="0" borderId="23" applyNumberFormat="0" applyFill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2" fillId="0" borderId="0"/>
    <xf numFmtId="177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54" fillId="0" borderId="0" applyFill="0">
      <alignment horizontal="center"/>
    </xf>
    <xf numFmtId="4" fontId="54" fillId="0" borderId="0" applyFill="0">
      <alignment horizontal="center"/>
    </xf>
    <xf numFmtId="0" fontId="1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178" fontId="22" fillId="0" borderId="0"/>
    <xf numFmtId="0" fontId="3" fillId="0" borderId="0"/>
    <xf numFmtId="0" fontId="3" fillId="0" borderId="0"/>
    <xf numFmtId="0" fontId="3" fillId="0" borderId="0"/>
    <xf numFmtId="0" fontId="1" fillId="0" borderId="0"/>
    <xf numFmtId="178" fontId="22" fillId="0" borderId="0"/>
    <xf numFmtId="0" fontId="1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9" borderId="27" applyNumberFormat="0" applyFont="0" applyAlignment="0" applyProtection="0"/>
    <xf numFmtId="0" fontId="27" fillId="9" borderId="27" applyNumberFormat="0" applyFont="0" applyAlignment="0" applyProtection="0"/>
    <xf numFmtId="0" fontId="27" fillId="9" borderId="27" applyNumberFormat="0" applyFont="0" applyAlignment="0" applyProtection="0"/>
    <xf numFmtId="0" fontId="27" fillId="9" borderId="27" applyNumberFormat="0" applyFont="0" applyAlignment="0" applyProtection="0"/>
    <xf numFmtId="0" fontId="56" fillId="21" borderId="28" applyNumberFormat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6" fillId="21" borderId="28" applyNumberFormat="0" applyAlignment="0" applyProtection="0"/>
    <xf numFmtId="0" fontId="56" fillId="21" borderId="28" applyNumberFormat="0" applyAlignment="0" applyProtection="0"/>
    <xf numFmtId="0" fontId="56" fillId="21" borderId="28" applyNumberFormat="0" applyAlignment="0" applyProtection="0"/>
    <xf numFmtId="4" fontId="57" fillId="0" borderId="0" applyNumberFormat="0" applyFill="0" applyBorder="0" applyAlignment="0" applyProtection="0">
      <alignment horizont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4" fillId="0" borderId="26" applyNumberFormat="0" applyFill="0" applyAlignment="0" applyProtection="0"/>
    <xf numFmtId="0" fontId="44" fillId="0" borderId="26" applyNumberFormat="0" applyFill="0" applyAlignment="0" applyProtection="0"/>
    <xf numFmtId="0" fontId="44" fillId="0" borderId="26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30" fillId="0" borderId="29" applyNumberFormat="0" applyFill="0" applyAlignment="0" applyProtection="0"/>
    <xf numFmtId="0" fontId="30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3" fillId="0" borderId="0"/>
    <xf numFmtId="43" fontId="28" fillId="0" borderId="0" applyFont="0" applyFill="0" applyBorder="0" applyAlignment="0" applyProtection="0"/>
    <xf numFmtId="44" fontId="6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21" borderId="30" applyNumberFormat="0" applyAlignment="0" applyProtection="0"/>
    <xf numFmtId="0" fontId="40" fillId="21" borderId="30" applyNumberFormat="0" applyAlignment="0" applyProtection="0"/>
    <xf numFmtId="0" fontId="40" fillId="21" borderId="30" applyNumberFormat="0" applyAlignment="0" applyProtection="0"/>
    <xf numFmtId="0" fontId="40" fillId="21" borderId="30" applyNumberFormat="0" applyAlignment="0" applyProtection="0"/>
    <xf numFmtId="0" fontId="45" fillId="12" borderId="30" applyNumberFormat="0" applyAlignment="0" applyProtection="0"/>
    <xf numFmtId="0" fontId="45" fillId="12" borderId="30" applyNumberFormat="0" applyAlignment="0" applyProtection="0"/>
    <xf numFmtId="0" fontId="45" fillId="12" borderId="30" applyNumberFormat="0" applyAlignment="0" applyProtection="0"/>
    <xf numFmtId="0" fontId="45" fillId="12" borderId="30" applyNumberFormat="0" applyAlignment="0" applyProtection="0"/>
    <xf numFmtId="0" fontId="27" fillId="9" borderId="31" applyNumberFormat="0" applyFont="0" applyAlignment="0" applyProtection="0"/>
    <xf numFmtId="0" fontId="27" fillId="9" borderId="31" applyNumberFormat="0" applyFont="0" applyAlignment="0" applyProtection="0"/>
    <xf numFmtId="0" fontId="27" fillId="9" borderId="31" applyNumberFormat="0" applyFont="0" applyAlignment="0" applyProtection="0"/>
    <xf numFmtId="0" fontId="27" fillId="9" borderId="31" applyNumberFormat="0" applyFont="0" applyAlignment="0" applyProtection="0"/>
    <xf numFmtId="0" fontId="56" fillId="21" borderId="32" applyNumberFormat="0" applyAlignment="0" applyProtection="0"/>
    <xf numFmtId="0" fontId="56" fillId="21" borderId="32" applyNumberFormat="0" applyAlignment="0" applyProtection="0"/>
    <xf numFmtId="0" fontId="56" fillId="21" borderId="32" applyNumberFormat="0" applyAlignment="0" applyProtection="0"/>
    <xf numFmtId="0" fontId="56" fillId="21" borderId="32" applyNumberFormat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1" fillId="0" borderId="0"/>
    <xf numFmtId="0" fontId="65" fillId="0" borderId="0"/>
    <xf numFmtId="166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5" fillId="25" borderId="0" applyNumberFormat="0" applyBorder="0" applyAlignment="0" applyProtection="0"/>
    <xf numFmtId="0" fontId="65" fillId="26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65" fillId="0" borderId="0"/>
    <xf numFmtId="166" fontId="65" fillId="0" borderId="0" applyFont="0" applyFill="0" applyBorder="0" applyAlignment="0" applyProtection="0"/>
    <xf numFmtId="0" fontId="65" fillId="30" borderId="0" applyNumberFormat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616">
    <xf numFmtId="0" fontId="0" fillId="0" borderId="0" xfId="0"/>
    <xf numFmtId="168" fontId="0" fillId="0" borderId="0" xfId="0" applyNumberFormat="1"/>
    <xf numFmtId="2" fontId="0" fillId="0" borderId="0" xfId="0" applyNumberFormat="1"/>
    <xf numFmtId="0" fontId="4" fillId="2" borderId="0" xfId="2" applyFont="1" applyFill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4" fillId="2" borderId="3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4" fillId="2" borderId="5" xfId="2" applyFont="1" applyFill="1" applyBorder="1" applyAlignment="1">
      <alignment vertical="center"/>
    </xf>
    <xf numFmtId="0" fontId="0" fillId="2" borderId="0" xfId="0" applyFill="1"/>
    <xf numFmtId="0" fontId="0" fillId="2" borderId="4" xfId="0" applyFill="1" applyBorder="1"/>
    <xf numFmtId="0" fontId="4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10" fillId="0" borderId="0" xfId="0" applyFont="1"/>
    <xf numFmtId="0" fontId="11" fillId="2" borderId="0" xfId="2" applyFont="1" applyFill="1" applyAlignment="1">
      <alignment vertical="center"/>
    </xf>
    <xf numFmtId="0" fontId="2" fillId="0" borderId="0" xfId="0" applyFont="1"/>
    <xf numFmtId="0" fontId="9" fillId="0" borderId="0" xfId="2" applyFont="1" applyAlignment="1">
      <alignment vertical="center"/>
    </xf>
    <xf numFmtId="0" fontId="4" fillId="2" borderId="0" xfId="2" applyFont="1" applyFill="1" applyAlignment="1">
      <alignment horizontal="justify" vertical="justify"/>
    </xf>
    <xf numFmtId="4" fontId="4" fillId="2" borderId="0" xfId="2" applyNumberFormat="1" applyFont="1" applyFill="1" applyAlignment="1">
      <alignment horizontal="center" vertical="center"/>
    </xf>
    <xf numFmtId="4" fontId="4" fillId="2" borderId="0" xfId="2" applyNumberFormat="1" applyFont="1" applyFill="1" applyAlignment="1">
      <alignment horizontal="center" vertical="justify"/>
    </xf>
    <xf numFmtId="4" fontId="4" fillId="2" borderId="0" xfId="2" applyNumberFormat="1" applyFont="1" applyFill="1" applyAlignment="1">
      <alignment horizontal="right" vertical="center"/>
    </xf>
    <xf numFmtId="0" fontId="4" fillId="2" borderId="4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9" fontId="15" fillId="0" borderId="10" xfId="5" applyNumberFormat="1" applyFont="1" applyFill="1" applyBorder="1" applyAlignment="1">
      <alignment horizontal="center" vertical="center"/>
    </xf>
    <xf numFmtId="0" fontId="16" fillId="0" borderId="13" xfId="6" applyFont="1" applyBorder="1" applyAlignment="1">
      <alignment horizontal="center" vertical="center"/>
    </xf>
    <xf numFmtId="0" fontId="15" fillId="0" borderId="11" xfId="6" applyFont="1" applyBorder="1" applyAlignment="1">
      <alignment horizontal="left" vertical="center"/>
    </xf>
    <xf numFmtId="169" fontId="15" fillId="0" borderId="11" xfId="5" applyNumberFormat="1" applyFont="1" applyFill="1" applyBorder="1" applyAlignment="1">
      <alignment horizontal="center" vertical="center"/>
    </xf>
    <xf numFmtId="10" fontId="15" fillId="0" borderId="11" xfId="6" applyNumberFormat="1" applyFont="1" applyBorder="1" applyAlignment="1">
      <alignment horizontal="center" vertical="center"/>
    </xf>
    <xf numFmtId="39" fontId="15" fillId="0" borderId="11" xfId="6" applyNumberFormat="1" applyFont="1" applyBorder="1" applyAlignment="1">
      <alignment vertical="center"/>
    </xf>
    <xf numFmtId="0" fontId="16" fillId="5" borderId="14" xfId="6" applyFont="1" applyFill="1" applyBorder="1" applyAlignment="1">
      <alignment horizontal="center" vertical="center"/>
    </xf>
    <xf numFmtId="0" fontId="16" fillId="5" borderId="15" xfId="6" applyFont="1" applyFill="1" applyBorder="1" applyAlignment="1">
      <alignment horizontal="center" vertical="center"/>
    </xf>
    <xf numFmtId="43" fontId="16" fillId="5" borderId="15" xfId="6" applyNumberFormat="1" applyFont="1" applyFill="1" applyBorder="1" applyAlignment="1">
      <alignment horizontal="center" vertical="center"/>
    </xf>
    <xf numFmtId="43" fontId="16" fillId="5" borderId="12" xfId="6" applyNumberFormat="1" applyFont="1" applyFill="1" applyBorder="1" applyAlignment="1">
      <alignment horizontal="center" vertical="center"/>
    </xf>
    <xf numFmtId="0" fontId="16" fillId="0" borderId="14" xfId="6" applyFont="1" applyBorder="1" applyAlignment="1">
      <alignment horizontal="center" vertical="center"/>
    </xf>
    <xf numFmtId="0" fontId="16" fillId="3" borderId="15" xfId="6" applyFont="1" applyFill="1" applyBorder="1" applyAlignment="1">
      <alignment horizontal="center" vertical="center"/>
    </xf>
    <xf numFmtId="10" fontId="15" fillId="3" borderId="15" xfId="6" applyNumberFormat="1" applyFont="1" applyFill="1" applyBorder="1" applyAlignment="1">
      <alignment horizontal="center" vertical="center"/>
    </xf>
    <xf numFmtId="43" fontId="16" fillId="3" borderId="18" xfId="6" applyNumberFormat="1" applyFont="1" applyFill="1" applyBorder="1" applyAlignment="1">
      <alignment horizontal="center" vertical="center"/>
    </xf>
    <xf numFmtId="0" fontId="21" fillId="2" borderId="6" xfId="0" applyFont="1" applyFill="1" applyBorder="1"/>
    <xf numFmtId="0" fontId="12" fillId="2" borderId="7" xfId="2" applyFont="1" applyFill="1" applyBorder="1" applyAlignment="1">
      <alignment horizontal="justify" vertical="justify"/>
    </xf>
    <xf numFmtId="0" fontId="12" fillId="2" borderId="8" xfId="2" applyFont="1" applyFill="1" applyBorder="1" applyAlignment="1">
      <alignment horizontal="right" vertical="center"/>
    </xf>
    <xf numFmtId="0" fontId="12" fillId="4" borderId="11" xfId="2" applyFont="1" applyFill="1" applyBorder="1" applyAlignment="1">
      <alignment horizontal="justify" vertical="justify"/>
    </xf>
    <xf numFmtId="4" fontId="12" fillId="4" borderId="11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4" fontId="12" fillId="4" borderId="11" xfId="2" applyNumberFormat="1" applyFont="1" applyFill="1" applyBorder="1" applyAlignment="1">
      <alignment horizontal="center" vertical="justify"/>
    </xf>
    <xf numFmtId="0" fontId="13" fillId="0" borderId="11" xfId="0" applyFont="1" applyBorder="1" applyAlignment="1">
      <alignment horizontal="left" vertical="center" wrapText="1"/>
    </xf>
    <xf numFmtId="4" fontId="13" fillId="0" borderId="11" xfId="4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4" fontId="13" fillId="0" borderId="11" xfId="4" applyNumberFormat="1" applyFont="1" applyBorder="1" applyAlignment="1">
      <alignment horizontal="right" vertical="center"/>
    </xf>
    <xf numFmtId="0" fontId="13" fillId="0" borderId="11" xfId="4" applyFont="1" applyBorder="1" applyAlignment="1">
      <alignment horizontal="justify" vertical="justify"/>
    </xf>
    <xf numFmtId="2" fontId="13" fillId="0" borderId="11" xfId="0" applyNumberFormat="1" applyFont="1" applyBorder="1" applyAlignment="1">
      <alignment horizontal="center" vertical="center"/>
    </xf>
    <xf numFmtId="0" fontId="23" fillId="0" borderId="11" xfId="8" applyFont="1" applyBorder="1" applyAlignment="1" applyProtection="1">
      <alignment vertical="center" wrapText="1"/>
      <protection hidden="1"/>
    </xf>
    <xf numFmtId="43" fontId="23" fillId="0" borderId="11" xfId="10" applyFont="1" applyFill="1" applyBorder="1" applyAlignment="1" applyProtection="1">
      <alignment horizontal="center"/>
      <protection hidden="1"/>
    </xf>
    <xf numFmtId="43" fontId="23" fillId="0" borderId="11" xfId="10" applyFont="1" applyFill="1" applyBorder="1" applyAlignment="1" applyProtection="1">
      <protection locked="0"/>
    </xf>
    <xf numFmtId="0" fontId="12" fillId="4" borderId="11" xfId="2" applyFont="1" applyFill="1" applyBorder="1" applyAlignment="1">
      <alignment horizontal="justify" vertical="center"/>
    </xf>
    <xf numFmtId="0" fontId="13" fillId="0" borderId="11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4" fontId="24" fillId="0" borderId="5" xfId="4" applyNumberFormat="1" applyFont="1" applyBorder="1" applyAlignment="1">
      <alignment horizontal="right" vertical="center"/>
    </xf>
    <xf numFmtId="10" fontId="15" fillId="0" borderId="11" xfId="5" applyNumberFormat="1" applyFont="1" applyFill="1" applyBorder="1" applyAlignment="1">
      <alignment horizontal="center" vertical="center"/>
    </xf>
    <xf numFmtId="0" fontId="16" fillId="0" borderId="9" xfId="6" applyFont="1" applyBorder="1" applyAlignment="1">
      <alignment horizontal="center" vertical="center"/>
    </xf>
    <xf numFmtId="10" fontId="15" fillId="0" borderId="10" xfId="6" applyNumberFormat="1" applyFont="1" applyBorder="1" applyAlignment="1">
      <alignment horizontal="center" vertical="center"/>
    </xf>
    <xf numFmtId="0" fontId="31" fillId="6" borderId="10" xfId="4" applyFont="1" applyFill="1" applyBorder="1"/>
    <xf numFmtId="2" fontId="32" fillId="6" borderId="10" xfId="27" quotePrefix="1" applyNumberFormat="1" applyFont="1" applyFill="1" applyBorder="1" applyAlignment="1">
      <alignment horizontal="center" vertical="center"/>
    </xf>
    <xf numFmtId="0" fontId="32" fillId="6" borderId="10" xfId="27" quotePrefix="1" applyFont="1" applyFill="1" applyBorder="1" applyAlignment="1">
      <alignment horizontal="center" vertical="center"/>
    </xf>
    <xf numFmtId="4" fontId="32" fillId="6" borderId="10" xfId="27" quotePrefix="1" applyNumberFormat="1" applyFont="1" applyFill="1" applyBorder="1" applyAlignment="1">
      <alignment horizontal="right" vertical="center"/>
    </xf>
    <xf numFmtId="44" fontId="32" fillId="6" borderId="10" xfId="28" quotePrefix="1" applyFont="1" applyFill="1" applyBorder="1" applyAlignment="1">
      <alignment horizontal="right" vertical="center"/>
    </xf>
    <xf numFmtId="0" fontId="31" fillId="0" borderId="11" xfId="4" applyFont="1" applyBorder="1"/>
    <xf numFmtId="2" fontId="31" fillId="0" borderId="11" xfId="4" applyNumberFormat="1" applyFont="1" applyBorder="1" applyAlignment="1">
      <alignment horizontal="center" vertical="center"/>
    </xf>
    <xf numFmtId="0" fontId="31" fillId="0" borderId="11" xfId="4" applyFont="1" applyBorder="1" applyAlignment="1">
      <alignment horizontal="center" vertical="center"/>
    </xf>
    <xf numFmtId="2" fontId="31" fillId="0" borderId="11" xfId="4" applyNumberFormat="1" applyFont="1" applyBorder="1" applyAlignment="1">
      <alignment horizontal="right"/>
    </xf>
    <xf numFmtId="44" fontId="31" fillId="0" borderId="11" xfId="28" applyFont="1" applyBorder="1" applyAlignment="1">
      <alignment horizontal="right"/>
    </xf>
    <xf numFmtId="0" fontId="33" fillId="0" borderId="11" xfId="4" applyFont="1" applyBorder="1"/>
    <xf numFmtId="0" fontId="31" fillId="0" borderId="11" xfId="4" applyFont="1" applyBorder="1" applyAlignment="1">
      <alignment wrapText="1"/>
    </xf>
    <xf numFmtId="4" fontId="34" fillId="0" borderId="11" xfId="4" applyNumberFormat="1" applyFont="1" applyBorder="1" applyAlignment="1">
      <alignment horizontal="right"/>
    </xf>
    <xf numFmtId="44" fontId="34" fillId="0" borderId="11" xfId="29" applyFont="1" applyFill="1" applyBorder="1" applyAlignment="1">
      <alignment horizontal="right"/>
    </xf>
    <xf numFmtId="43" fontId="0" fillId="0" borderId="0" xfId="0" applyNumberFormat="1"/>
    <xf numFmtId="4" fontId="36" fillId="0" borderId="0" xfId="0" applyNumberFormat="1" applyFont="1"/>
    <xf numFmtId="4" fontId="35" fillId="0" borderId="34" xfId="28" applyNumberFormat="1" applyFont="1" applyFill="1" applyBorder="1" applyAlignment="1" applyProtection="1">
      <alignment horizontal="right" vertical="center"/>
    </xf>
    <xf numFmtId="44" fontId="32" fillId="3" borderId="10" xfId="28" quotePrefix="1" applyFont="1" applyFill="1" applyBorder="1" applyAlignment="1">
      <alignment horizontal="right" vertical="center"/>
    </xf>
    <xf numFmtId="0" fontId="3" fillId="3" borderId="10" xfId="4" applyFill="1" applyBorder="1"/>
    <xf numFmtId="4" fontId="3" fillId="0" borderId="34" xfId="0" applyNumberFormat="1" applyFont="1" applyBorder="1" applyAlignment="1">
      <alignment wrapText="1"/>
    </xf>
    <xf numFmtId="4" fontId="35" fillId="0" borderId="34" xfId="29" applyNumberFormat="1" applyFont="1" applyFill="1" applyBorder="1" applyAlignment="1">
      <alignment horizontal="right"/>
    </xf>
    <xf numFmtId="4" fontId="35" fillId="0" borderId="34" xfId="4" applyNumberFormat="1" applyFont="1" applyBorder="1" applyAlignment="1">
      <alignment horizontal="right"/>
    </xf>
    <xf numFmtId="4" fontId="59" fillId="0" borderId="0" xfId="0" applyNumberFormat="1" applyFont="1"/>
    <xf numFmtId="4" fontId="35" fillId="0" borderId="34" xfId="0" applyNumberFormat="1" applyFont="1" applyBorder="1" applyAlignment="1">
      <alignment horizontal="right"/>
    </xf>
    <xf numFmtId="4" fontId="3" fillId="0" borderId="34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/>
    </xf>
    <xf numFmtId="4" fontId="3" fillId="0" borderId="34" xfId="0" applyNumberFormat="1" applyFont="1" applyBorder="1" applyAlignment="1">
      <alignment horizontal="center" vertical="top"/>
    </xf>
    <xf numFmtId="4" fontId="3" fillId="0" borderId="34" xfId="0" applyNumberFormat="1" applyFont="1" applyBorder="1"/>
    <xf numFmtId="44" fontId="3" fillId="6" borderId="10" xfId="28" quotePrefix="1" applyFont="1" applyFill="1" applyBorder="1" applyAlignment="1">
      <alignment horizontal="right" vertical="center"/>
    </xf>
    <xf numFmtId="0" fontId="3" fillId="6" borderId="10" xfId="4" applyFill="1" applyBorder="1"/>
    <xf numFmtId="4" fontId="35" fillId="0" borderId="34" xfId="28" applyNumberFormat="1" applyFont="1" applyFill="1" applyBorder="1" applyAlignment="1">
      <alignment horizontal="right"/>
    </xf>
    <xf numFmtId="4" fontId="3" fillId="0" borderId="34" xfId="28" applyNumberFormat="1" applyFont="1" applyBorder="1" applyAlignment="1">
      <alignment horizontal="right"/>
    </xf>
    <xf numFmtId="2" fontId="59" fillId="0" borderId="34" xfId="292" applyNumberFormat="1" applyFont="1" applyBorder="1"/>
    <xf numFmtId="0" fontId="59" fillId="0" borderId="34" xfId="292" applyFont="1" applyBorder="1"/>
    <xf numFmtId="0" fontId="3" fillId="0" borderId="34" xfId="4" applyBorder="1" applyAlignment="1">
      <alignment horizontal="center" vertical="center"/>
    </xf>
    <xf numFmtId="4" fontId="0" fillId="0" borderId="0" xfId="0" applyNumberFormat="1"/>
    <xf numFmtId="0" fontId="31" fillId="3" borderId="10" xfId="390" applyFont="1" applyFill="1" applyBorder="1"/>
    <xf numFmtId="2" fontId="32" fillId="3" borderId="10" xfId="331" quotePrefix="1" applyNumberFormat="1" applyFont="1" applyFill="1" applyBorder="1" applyAlignment="1">
      <alignment horizontal="center" vertical="center"/>
    </xf>
    <xf numFmtId="0" fontId="32" fillId="3" borderId="10" xfId="331" quotePrefix="1" applyFont="1" applyFill="1" applyBorder="1" applyAlignment="1">
      <alignment horizontal="center" vertical="center"/>
    </xf>
    <xf numFmtId="4" fontId="32" fillId="3" borderId="10" xfId="331" quotePrefix="1" applyNumberFormat="1" applyFont="1" applyFill="1" applyBorder="1" applyAlignment="1">
      <alignment horizontal="right" vertical="center"/>
    </xf>
    <xf numFmtId="0" fontId="31" fillId="0" borderId="34" xfId="390" applyFont="1" applyBorder="1"/>
    <xf numFmtId="2" fontId="31" fillId="0" borderId="34" xfId="390" applyNumberFormat="1" applyFont="1" applyBorder="1" applyAlignment="1">
      <alignment horizontal="center" vertical="center"/>
    </xf>
    <xf numFmtId="0" fontId="31" fillId="0" borderId="34" xfId="390" applyFont="1" applyBorder="1" applyAlignment="1">
      <alignment horizontal="center" vertical="center"/>
    </xf>
    <xf numFmtId="4" fontId="31" fillId="0" borderId="34" xfId="390" applyNumberFormat="1" applyFont="1" applyBorder="1" applyAlignment="1">
      <alignment horizontal="right"/>
    </xf>
    <xf numFmtId="44" fontId="31" fillId="0" borderId="34" xfId="28" applyFont="1" applyBorder="1" applyAlignment="1">
      <alignment horizontal="right"/>
    </xf>
    <xf numFmtId="4" fontId="34" fillId="0" borderId="34" xfId="390" applyNumberFormat="1" applyFont="1" applyBorder="1" applyAlignment="1">
      <alignment horizontal="right"/>
    </xf>
    <xf numFmtId="44" fontId="34" fillId="0" borderId="34" xfId="28" applyFont="1" applyFill="1" applyBorder="1" applyAlignment="1">
      <alignment horizontal="right"/>
    </xf>
    <xf numFmtId="0" fontId="31" fillId="0" borderId="0" xfId="390" applyFont="1"/>
    <xf numFmtId="2" fontId="31" fillId="0" borderId="0" xfId="390" applyNumberFormat="1" applyFont="1" applyAlignment="1">
      <alignment horizontal="center" vertical="center"/>
    </xf>
    <xf numFmtId="0" fontId="31" fillId="0" borderId="0" xfId="390" applyFont="1" applyAlignment="1">
      <alignment horizontal="center" vertical="center"/>
    </xf>
    <xf numFmtId="4" fontId="34" fillId="0" borderId="0" xfId="390" applyNumberFormat="1" applyFont="1" applyAlignment="1">
      <alignment horizontal="right"/>
    </xf>
    <xf numFmtId="44" fontId="34" fillId="0" borderId="0" xfId="28" applyFont="1" applyFill="1" applyBorder="1" applyAlignment="1">
      <alignment horizontal="right"/>
    </xf>
    <xf numFmtId="2" fontId="3" fillId="6" borderId="10" xfId="331" quotePrefix="1" applyNumberFormat="1" applyFont="1" applyFill="1" applyBorder="1" applyAlignment="1">
      <alignment horizontal="center" vertical="center"/>
    </xf>
    <xf numFmtId="0" fontId="3" fillId="6" borderId="10" xfId="331" quotePrefix="1" applyFont="1" applyFill="1" applyBorder="1" applyAlignment="1">
      <alignment horizontal="center" vertical="center"/>
    </xf>
    <xf numFmtId="4" fontId="3" fillId="6" borderId="10" xfId="331" quotePrefix="1" applyNumberFormat="1" applyFont="1" applyFill="1" applyBorder="1" applyAlignment="1">
      <alignment horizontal="right" vertical="center"/>
    </xf>
    <xf numFmtId="0" fontId="59" fillId="0" borderId="0" xfId="0" applyFont="1"/>
    <xf numFmtId="0" fontId="31" fillId="6" borderId="10" xfId="275" applyFont="1" applyFill="1" applyBorder="1"/>
    <xf numFmtId="0" fontId="31" fillId="0" borderId="34" xfId="275" applyFont="1" applyBorder="1"/>
    <xf numFmtId="0" fontId="31" fillId="0" borderId="34" xfId="275" applyFont="1" applyBorder="1" applyAlignment="1">
      <alignment horizontal="center" vertical="center"/>
    </xf>
    <xf numFmtId="4" fontId="31" fillId="0" borderId="34" xfId="275" applyNumberFormat="1" applyFont="1" applyBorder="1" applyAlignment="1">
      <alignment horizontal="right"/>
    </xf>
    <xf numFmtId="2" fontId="31" fillId="0" borderId="34" xfId="275" applyNumberFormat="1" applyFont="1" applyBorder="1" applyAlignment="1">
      <alignment horizontal="center" vertical="center"/>
    </xf>
    <xf numFmtId="4" fontId="34" fillId="0" borderId="34" xfId="275" applyNumberFormat="1" applyFont="1" applyBorder="1" applyAlignment="1">
      <alignment horizontal="right"/>
    </xf>
    <xf numFmtId="44" fontId="34" fillId="0" borderId="34" xfId="247" applyFont="1" applyFill="1" applyBorder="1" applyAlignment="1">
      <alignment horizontal="right"/>
    </xf>
    <xf numFmtId="4" fontId="34" fillId="2" borderId="34" xfId="0" applyNumberFormat="1" applyFont="1" applyFill="1" applyBorder="1" applyAlignment="1">
      <alignment horizontal="right"/>
    </xf>
    <xf numFmtId="44" fontId="34" fillId="2" borderId="34" xfId="28" applyFont="1" applyFill="1" applyBorder="1" applyAlignment="1">
      <alignment horizontal="right"/>
    </xf>
    <xf numFmtId="0" fontId="31" fillId="0" borderId="34" xfId="4" applyFont="1" applyBorder="1" applyAlignment="1">
      <alignment wrapText="1"/>
    </xf>
    <xf numFmtId="0" fontId="31" fillId="0" borderId="34" xfId="4" applyFont="1" applyBorder="1" applyAlignment="1">
      <alignment horizontal="center" vertical="center"/>
    </xf>
    <xf numFmtId="4" fontId="34" fillId="0" borderId="34" xfId="4" applyNumberFormat="1" applyFont="1" applyBorder="1" applyAlignment="1">
      <alignment horizontal="right"/>
    </xf>
    <xf numFmtId="0" fontId="23" fillId="2" borderId="0" xfId="307" applyFont="1" applyFill="1" applyAlignment="1">
      <alignment vertical="center"/>
    </xf>
    <xf numFmtId="0" fontId="23" fillId="0" borderId="0" xfId="307" applyFont="1" applyAlignment="1">
      <alignment vertical="center"/>
    </xf>
    <xf numFmtId="0" fontId="13" fillId="2" borderId="0" xfId="430" applyFont="1" applyFill="1" applyAlignment="1">
      <alignment vertical="center"/>
    </xf>
    <xf numFmtId="0" fontId="13" fillId="0" borderId="0" xfId="430" applyFont="1" applyAlignment="1">
      <alignment vertical="center"/>
    </xf>
    <xf numFmtId="166" fontId="67" fillId="0" borderId="36" xfId="432" applyFont="1" applyBorder="1" applyAlignment="1">
      <alignment horizontal="center"/>
    </xf>
    <xf numFmtId="0" fontId="67" fillId="0" borderId="36" xfId="0" applyFont="1" applyBorder="1" applyAlignment="1">
      <alignment horizontal="center"/>
    </xf>
    <xf numFmtId="0" fontId="66" fillId="0" borderId="0" xfId="0" applyFont="1"/>
    <xf numFmtId="4" fontId="31" fillId="0" borderId="34" xfId="4" applyNumberFormat="1" applyFont="1" applyBorder="1" applyAlignment="1">
      <alignment horizontal="right"/>
    </xf>
    <xf numFmtId="44" fontId="34" fillId="0" borderId="34" xfId="29" applyFont="1" applyFill="1" applyBorder="1" applyAlignment="1">
      <alignment horizontal="right"/>
    </xf>
    <xf numFmtId="0" fontId="31" fillId="0" borderId="34" xfId="4" applyFont="1" applyBorder="1"/>
    <xf numFmtId="2" fontId="31" fillId="0" borderId="34" xfId="4" applyNumberFormat="1" applyFont="1" applyBorder="1" applyAlignment="1">
      <alignment horizontal="center" vertical="center"/>
    </xf>
    <xf numFmtId="0" fontId="16" fillId="0" borderId="37" xfId="6" applyFont="1" applyBorder="1" applyAlignment="1">
      <alignment horizontal="center" vertical="center"/>
    </xf>
    <xf numFmtId="0" fontId="15" fillId="0" borderId="17" xfId="6" applyFont="1" applyBorder="1" applyAlignment="1">
      <alignment horizontal="left" vertical="center"/>
    </xf>
    <xf numFmtId="169" fontId="15" fillId="0" borderId="17" xfId="5" applyNumberFormat="1" applyFont="1" applyFill="1" applyBorder="1" applyAlignment="1">
      <alignment horizontal="center" vertical="center"/>
    </xf>
    <xf numFmtId="10" fontId="15" fillId="0" borderId="17" xfId="6" applyNumberFormat="1" applyFont="1" applyBorder="1" applyAlignment="1">
      <alignment horizontal="center" vertical="center"/>
    </xf>
    <xf numFmtId="39" fontId="15" fillId="0" borderId="38" xfId="6" applyNumberFormat="1" applyFont="1" applyBorder="1" applyAlignment="1">
      <alignment vertical="center"/>
    </xf>
    <xf numFmtId="0" fontId="31" fillId="3" borderId="10" xfId="4" applyFont="1" applyFill="1" applyBorder="1"/>
    <xf numFmtId="2" fontId="32" fillId="3" borderId="10" xfId="27" quotePrefix="1" applyNumberFormat="1" applyFont="1" applyFill="1" applyBorder="1" applyAlignment="1">
      <alignment horizontal="center" vertical="center"/>
    </xf>
    <xf numFmtId="0" fontId="32" fillId="3" borderId="10" xfId="27" quotePrefix="1" applyFont="1" applyFill="1" applyBorder="1" applyAlignment="1">
      <alignment horizontal="center" vertical="center"/>
    </xf>
    <xf numFmtId="4" fontId="32" fillId="3" borderId="10" xfId="27" quotePrefix="1" applyNumberFormat="1" applyFont="1" applyFill="1" applyBorder="1" applyAlignment="1">
      <alignment horizontal="right" vertical="center"/>
    </xf>
    <xf numFmtId="4" fontId="3" fillId="0" borderId="11" xfId="0" applyNumberFormat="1" applyFont="1" applyBorder="1"/>
    <xf numFmtId="4" fontId="3" fillId="0" borderId="11" xfId="0" applyNumberFormat="1" applyFont="1" applyBorder="1" applyAlignment="1">
      <alignment horizontal="center" vertical="top"/>
    </xf>
    <xf numFmtId="4" fontId="3" fillId="0" borderId="11" xfId="0" applyNumberFormat="1" applyFont="1" applyBorder="1" applyAlignment="1">
      <alignment horizontal="center"/>
    </xf>
    <xf numFmtId="4" fontId="31" fillId="27" borderId="34" xfId="390" applyNumberFormat="1" applyFont="1" applyFill="1" applyBorder="1" applyAlignment="1">
      <alignment horizontal="right"/>
    </xf>
    <xf numFmtId="2" fontId="31" fillId="27" borderId="34" xfId="390" applyNumberFormat="1" applyFont="1" applyFill="1" applyBorder="1" applyAlignment="1">
      <alignment horizontal="center" vertical="center"/>
    </xf>
    <xf numFmtId="0" fontId="31" fillId="0" borderId="11" xfId="390" applyFont="1" applyBorder="1"/>
    <xf numFmtId="2" fontId="31" fillId="0" borderId="11" xfId="390" applyNumberFormat="1" applyFont="1" applyBorder="1" applyAlignment="1">
      <alignment horizontal="center" vertical="center"/>
    </xf>
    <xf numFmtId="0" fontId="31" fillId="0" borderId="11" xfId="390" applyFont="1" applyBorder="1" applyAlignment="1">
      <alignment horizontal="center" vertical="center"/>
    </xf>
    <xf numFmtId="44" fontId="34" fillId="0" borderId="11" xfId="28" applyFont="1" applyFill="1" applyBorder="1" applyAlignment="1">
      <alignment horizontal="right"/>
    </xf>
    <xf numFmtId="0" fontId="29" fillId="0" borderId="0" xfId="0" applyFont="1" applyAlignment="1">
      <alignment horizontal="right"/>
    </xf>
    <xf numFmtId="10" fontId="31" fillId="0" borderId="34" xfId="390" applyNumberFormat="1" applyFont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39" fontId="69" fillId="5" borderId="0" xfId="0" applyNumberFormat="1" applyFont="1" applyFill="1"/>
    <xf numFmtId="0" fontId="63" fillId="5" borderId="0" xfId="437" applyFont="1" applyFill="1"/>
    <xf numFmtId="0" fontId="63" fillId="0" borderId="0" xfId="437" applyFont="1" applyAlignment="1">
      <alignment horizontal="right"/>
    </xf>
    <xf numFmtId="0" fontId="63" fillId="0" borderId="0" xfId="437" applyFont="1" applyAlignment="1">
      <alignment horizontal="center"/>
    </xf>
    <xf numFmtId="4" fontId="7" fillId="0" borderId="0" xfId="437" applyNumberFormat="1" applyFont="1" applyAlignment="1">
      <alignment horizontal="center" vertical="center"/>
    </xf>
    <xf numFmtId="4" fontId="7" fillId="0" borderId="0" xfId="437" applyNumberFormat="1" applyFont="1" applyAlignment="1">
      <alignment horizontal="right" vertical="center"/>
    </xf>
    <xf numFmtId="0" fontId="63" fillId="0" borderId="0" xfId="437" applyFont="1" applyAlignment="1">
      <alignment horizontal="justify" vertical="distributed"/>
    </xf>
    <xf numFmtId="0" fontId="63" fillId="0" borderId="0" xfId="437" applyFont="1"/>
    <xf numFmtId="4" fontId="7" fillId="28" borderId="39" xfId="0" applyNumberFormat="1" applyFont="1" applyFill="1" applyBorder="1" applyAlignment="1">
      <alignment horizontal="left" vertical="center" wrapText="1"/>
    </xf>
    <xf numFmtId="4" fontId="7" fillId="28" borderId="35" xfId="0" applyNumberFormat="1" applyFont="1" applyFill="1" applyBorder="1" applyAlignment="1">
      <alignment horizontal="center" vertical="center"/>
    </xf>
    <xf numFmtId="4" fontId="70" fillId="28" borderId="40" xfId="0" applyNumberFormat="1" applyFont="1" applyFill="1" applyBorder="1" applyAlignment="1">
      <alignment horizontal="center" vertical="center"/>
    </xf>
    <xf numFmtId="0" fontId="63" fillId="0" borderId="34" xfId="437" applyFont="1" applyBorder="1" applyAlignment="1">
      <alignment horizontal="justify" vertical="distributed"/>
    </xf>
    <xf numFmtId="0" fontId="63" fillId="0" borderId="34" xfId="437" applyFont="1" applyBorder="1"/>
    <xf numFmtId="0" fontId="63" fillId="0" borderId="34" xfId="437" applyFont="1" applyBorder="1" applyAlignment="1">
      <alignment horizontal="center"/>
    </xf>
    <xf numFmtId="4" fontId="63" fillId="0" borderId="34" xfId="437" applyNumberFormat="1" applyFont="1" applyBorder="1" applyAlignment="1">
      <alignment horizontal="center"/>
    </xf>
    <xf numFmtId="4" fontId="4" fillId="0" borderId="34" xfId="437" applyNumberFormat="1" applyFont="1" applyBorder="1" applyAlignment="1">
      <alignment horizontal="center" vertical="center"/>
    </xf>
    <xf numFmtId="4" fontId="4" fillId="0" borderId="34" xfId="437" applyNumberFormat="1" applyFont="1" applyBorder="1" applyAlignment="1">
      <alignment horizontal="right" vertical="center"/>
    </xf>
    <xf numFmtId="4" fontId="0" fillId="0" borderId="34" xfId="0" applyNumberFormat="1" applyBorder="1"/>
    <xf numFmtId="4" fontId="4" fillId="0" borderId="35" xfId="437" applyNumberFormat="1" applyFont="1" applyBorder="1" applyAlignment="1">
      <alignment horizontal="right" vertical="center"/>
    </xf>
    <xf numFmtId="4" fontId="0" fillId="0" borderId="35" xfId="0" applyNumberFormat="1" applyBorder="1"/>
    <xf numFmtId="4" fontId="7" fillId="29" borderId="19" xfId="437" applyNumberFormat="1" applyFont="1" applyFill="1" applyBorder="1" applyAlignment="1">
      <alignment horizontal="right" vertical="center"/>
    </xf>
    <xf numFmtId="0" fontId="71" fillId="0" borderId="0" xfId="437" applyFont="1" applyAlignment="1">
      <alignment horizontal="justify" vertical="distributed"/>
    </xf>
    <xf numFmtId="4" fontId="72" fillId="0" borderId="0" xfId="0" applyNumberFormat="1" applyFont="1"/>
    <xf numFmtId="4" fontId="63" fillId="0" borderId="34" xfId="437" applyNumberFormat="1" applyFont="1" applyBorder="1"/>
    <xf numFmtId="4" fontId="4" fillId="0" borderId="19" xfId="437" applyNumberFormat="1" applyFont="1" applyBorder="1" applyAlignment="1">
      <alignment horizontal="right" vertical="center"/>
    </xf>
    <xf numFmtId="4" fontId="0" fillId="0" borderId="20" xfId="0" applyNumberFormat="1" applyBorder="1"/>
    <xf numFmtId="4" fontId="71" fillId="0" borderId="0" xfId="437" applyNumberFormat="1" applyFont="1"/>
    <xf numFmtId="4" fontId="12" fillId="28" borderId="41" xfId="0" applyNumberFormat="1" applyFont="1" applyFill="1" applyBorder="1" applyAlignment="1">
      <alignment horizontal="left" vertical="center" wrapText="1"/>
    </xf>
    <xf numFmtId="4" fontId="73" fillId="28" borderId="34" xfId="277" applyNumberFormat="1" applyFont="1" applyFill="1" applyBorder="1" applyAlignment="1">
      <alignment horizontal="center" vertical="center"/>
    </xf>
    <xf numFmtId="4" fontId="74" fillId="28" borderId="41" xfId="277" applyNumberFormat="1" applyFont="1" applyFill="1" applyBorder="1" applyAlignment="1">
      <alignment horizontal="center" vertical="center"/>
    </xf>
    <xf numFmtId="4" fontId="74" fillId="28" borderId="41" xfId="277" applyNumberFormat="1" applyFont="1" applyFill="1" applyBorder="1" applyAlignment="1">
      <alignment horizontal="right" vertical="center"/>
    </xf>
    <xf numFmtId="4" fontId="74" fillId="28" borderId="42" xfId="277" applyNumberFormat="1" applyFont="1" applyFill="1" applyBorder="1" applyAlignment="1">
      <alignment horizontal="center" vertical="center"/>
    </xf>
    <xf numFmtId="4" fontId="7" fillId="0" borderId="34" xfId="0" applyNumberFormat="1" applyFont="1" applyBorder="1" applyAlignment="1">
      <alignment horizontal="left" vertical="center" wrapText="1"/>
    </xf>
    <xf numFmtId="4" fontId="75" fillId="0" borderId="34" xfId="390" applyNumberFormat="1" applyFont="1" applyBorder="1" applyAlignment="1">
      <alignment horizontal="center" vertical="center"/>
    </xf>
    <xf numFmtId="4" fontId="75" fillId="0" borderId="34" xfId="390" applyNumberFormat="1" applyFont="1" applyBorder="1" applyAlignment="1">
      <alignment horizontal="right" vertical="center"/>
    </xf>
    <xf numFmtId="4" fontId="75" fillId="0" borderId="34" xfId="390" applyNumberFormat="1" applyFont="1" applyBorder="1" applyAlignment="1">
      <alignment vertical="center"/>
    </xf>
    <xf numFmtId="43" fontId="4" fillId="0" borderId="34" xfId="437" applyNumberFormat="1" applyFont="1" applyBorder="1" applyAlignment="1">
      <alignment wrapText="1"/>
    </xf>
    <xf numFmtId="182" fontId="4" fillId="0" borderId="34" xfId="437" applyNumberFormat="1" applyFont="1" applyBorder="1" applyAlignment="1">
      <alignment horizontal="center" vertical="center" wrapText="1"/>
    </xf>
    <xf numFmtId="4" fontId="13" fillId="2" borderId="34" xfId="437" applyNumberFormat="1" applyFont="1" applyFill="1" applyBorder="1" applyAlignment="1">
      <alignment horizontal="center" vertical="center"/>
    </xf>
    <xf numFmtId="4" fontId="13" fillId="0" borderId="34" xfId="437" applyNumberFormat="1" applyFont="1" applyBorder="1" applyAlignment="1">
      <alignment horizontal="right" vertical="center"/>
    </xf>
    <xf numFmtId="4" fontId="13" fillId="0" borderId="34" xfId="0" applyNumberFormat="1" applyFont="1" applyBorder="1" applyAlignment="1">
      <alignment vertical="center"/>
    </xf>
    <xf numFmtId="4" fontId="75" fillId="2" borderId="34" xfId="0" applyNumberFormat="1" applyFont="1" applyFill="1" applyBorder="1" applyAlignment="1">
      <alignment horizontal="right" vertical="center"/>
    </xf>
    <xf numFmtId="4" fontId="4" fillId="0" borderId="34" xfId="437" applyNumberFormat="1" applyFont="1" applyBorder="1" applyAlignment="1">
      <alignment horizontal="center" vertical="center" wrapText="1"/>
    </xf>
    <xf numFmtId="1" fontId="75" fillId="0" borderId="0" xfId="390" applyNumberFormat="1" applyFont="1"/>
    <xf numFmtId="4" fontId="75" fillId="0" borderId="0" xfId="390" applyNumberFormat="1" applyFont="1" applyAlignment="1">
      <alignment horizontal="center" vertical="center"/>
    </xf>
    <xf numFmtId="4" fontId="12" fillId="5" borderId="43" xfId="437" applyNumberFormat="1" applyFont="1" applyFill="1" applyBorder="1" applyAlignment="1">
      <alignment horizontal="right"/>
    </xf>
    <xf numFmtId="4" fontId="12" fillId="5" borderId="16" xfId="437" applyNumberFormat="1" applyFont="1" applyFill="1" applyBorder="1" applyAlignment="1">
      <alignment horizontal="center"/>
    </xf>
    <xf numFmtId="4" fontId="12" fillId="5" borderId="44" xfId="437" applyNumberFormat="1" applyFont="1" applyFill="1" applyBorder="1" applyAlignment="1">
      <alignment horizontal="right"/>
    </xf>
    <xf numFmtId="0" fontId="74" fillId="0" borderId="0" xfId="437" applyFont="1" applyAlignment="1">
      <alignment horizontal="center"/>
    </xf>
    <xf numFmtId="4" fontId="74" fillId="0" borderId="0" xfId="437" applyNumberFormat="1" applyFont="1" applyAlignment="1">
      <alignment horizontal="center" vertical="center"/>
    </xf>
    <xf numFmtId="4" fontId="74" fillId="0" borderId="0" xfId="437" applyNumberFormat="1" applyFont="1" applyAlignment="1">
      <alignment horizontal="right" vertical="center"/>
    </xf>
    <xf numFmtId="4" fontId="75" fillId="0" borderId="0" xfId="437" applyNumberFormat="1" applyFont="1"/>
    <xf numFmtId="4" fontId="75" fillId="0" borderId="0" xfId="437" applyNumberFormat="1" applyFont="1" applyAlignment="1">
      <alignment horizontal="right"/>
    </xf>
    <xf numFmtId="4" fontId="75" fillId="0" borderId="0" xfId="437" applyNumberFormat="1" applyFont="1" applyAlignment="1">
      <alignment horizontal="center"/>
    </xf>
    <xf numFmtId="0" fontId="75" fillId="0" borderId="0" xfId="437" applyFont="1"/>
    <xf numFmtId="0" fontId="75" fillId="0" borderId="0" xfId="437" applyFont="1" applyAlignment="1">
      <alignment horizontal="right"/>
    </xf>
    <xf numFmtId="0" fontId="75" fillId="0" borderId="0" xfId="437" applyFont="1" applyAlignment="1">
      <alignment horizontal="center"/>
    </xf>
    <xf numFmtId="0" fontId="74" fillId="0" borderId="0" xfId="390" applyFont="1" applyAlignment="1">
      <alignment horizontal="center"/>
    </xf>
    <xf numFmtId="0" fontId="75" fillId="0" borderId="0" xfId="390" applyFont="1"/>
    <xf numFmtId="4" fontId="70" fillId="0" borderId="40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horizontal="left" vertical="center" wrapText="1"/>
    </xf>
    <xf numFmtId="4" fontId="7" fillId="0" borderId="35" xfId="0" applyNumberFormat="1" applyFont="1" applyBorder="1" applyAlignment="1">
      <alignment horizontal="center" vertical="center"/>
    </xf>
    <xf numFmtId="4" fontId="34" fillId="0" borderId="11" xfId="390" applyNumberFormat="1" applyFont="1" applyBorder="1" applyAlignment="1">
      <alignment horizontal="right"/>
    </xf>
    <xf numFmtId="0" fontId="76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29" fillId="0" borderId="0" xfId="0" applyFont="1" applyAlignment="1">
      <alignment horizontal="left" wrapText="1"/>
    </xf>
    <xf numFmtId="0" fontId="29" fillId="0" borderId="11" xfId="0" applyFont="1" applyBorder="1" applyAlignment="1">
      <alignment horizontal="center" wrapText="1"/>
    </xf>
    <xf numFmtId="0" fontId="31" fillId="0" borderId="10" xfId="390" applyFont="1" applyBorder="1"/>
    <xf numFmtId="0" fontId="31" fillId="0" borderId="34" xfId="390" quotePrefix="1" applyFont="1" applyBorder="1" applyAlignment="1">
      <alignment horizontal="center" vertical="center"/>
    </xf>
    <xf numFmtId="4" fontId="31" fillId="27" borderId="11" xfId="390" applyNumberFormat="1" applyFont="1" applyFill="1" applyBorder="1" applyAlignment="1">
      <alignment horizontal="right"/>
    </xf>
    <xf numFmtId="0" fontId="29" fillId="0" borderId="34" xfId="0" applyFont="1" applyBorder="1" applyAlignment="1">
      <alignment horizontal="center" wrapText="1"/>
    </xf>
    <xf numFmtId="0" fontId="29" fillId="0" borderId="34" xfId="0" applyFont="1" applyBorder="1" applyAlignment="1">
      <alignment horizontal="left" wrapText="1"/>
    </xf>
    <xf numFmtId="0" fontId="31" fillId="0" borderId="34" xfId="390" applyFont="1" applyBorder="1" applyAlignment="1">
      <alignment wrapText="1"/>
    </xf>
    <xf numFmtId="4" fontId="31" fillId="0" borderId="11" xfId="390" applyNumberFormat="1" applyFont="1" applyBorder="1" applyAlignment="1">
      <alignment horizontal="right"/>
    </xf>
    <xf numFmtId="10" fontId="31" fillId="0" borderId="11" xfId="390" applyNumberFormat="1" applyFont="1" applyBorder="1" applyAlignment="1">
      <alignment horizontal="center" vertical="center"/>
    </xf>
    <xf numFmtId="0" fontId="31" fillId="0" borderId="11" xfId="390" applyFont="1" applyBorder="1" applyAlignment="1">
      <alignment wrapText="1"/>
    </xf>
    <xf numFmtId="0" fontId="77" fillId="0" borderId="11" xfId="0" applyFont="1" applyBorder="1" applyAlignment="1">
      <alignment wrapText="1"/>
    </xf>
    <xf numFmtId="4" fontId="77" fillId="0" borderId="11" xfId="0" applyNumberFormat="1" applyFont="1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4" fontId="77" fillId="0" borderId="0" xfId="0" applyNumberFormat="1" applyFont="1" applyAlignment="1">
      <alignment horizontal="center"/>
    </xf>
    <xf numFmtId="39" fontId="71" fillId="6" borderId="0" xfId="0" applyNumberFormat="1" applyFont="1" applyFill="1"/>
    <xf numFmtId="166" fontId="71" fillId="6" borderId="0" xfId="432" applyFont="1" applyFill="1" applyAlignment="1" applyProtection="1">
      <alignment horizontal="center" wrapText="1"/>
    </xf>
    <xf numFmtId="2" fontId="7" fillId="28" borderId="11" xfId="0" applyNumberFormat="1" applyFont="1" applyFill="1" applyBorder="1" applyAlignment="1">
      <alignment horizontal="center" vertical="center"/>
    </xf>
    <xf numFmtId="0" fontId="7" fillId="28" borderId="11" xfId="0" applyFont="1" applyFill="1" applyBorder="1" applyAlignment="1">
      <alignment horizontal="center" vertical="center"/>
    </xf>
    <xf numFmtId="39" fontId="79" fillId="0" borderId="0" xfId="0" applyNumberFormat="1" applyFont="1"/>
    <xf numFmtId="4" fontId="79" fillId="0" borderId="0" xfId="432" applyNumberFormat="1" applyFont="1" applyFill="1" applyAlignment="1" applyProtection="1">
      <alignment horizontal="center" wrapText="1"/>
    </xf>
    <xf numFmtId="4" fontId="73" fillId="28" borderId="11" xfId="277" applyNumberFormat="1" applyFont="1" applyFill="1" applyBorder="1" applyAlignment="1">
      <alignment horizontal="center" vertical="center"/>
    </xf>
    <xf numFmtId="4" fontId="7" fillId="0" borderId="11" xfId="0" applyNumberFormat="1" applyFont="1" applyBorder="1" applyAlignment="1">
      <alignment horizontal="left" vertical="center" wrapText="1"/>
    </xf>
    <xf numFmtId="4" fontId="75" fillId="0" borderId="11" xfId="390" applyNumberFormat="1" applyFont="1" applyBorder="1" applyAlignment="1">
      <alignment horizontal="center" vertical="center"/>
    </xf>
    <xf numFmtId="4" fontId="75" fillId="2" borderId="11" xfId="0" applyNumberFormat="1" applyFont="1" applyFill="1" applyBorder="1" applyAlignment="1">
      <alignment horizontal="right" vertical="center"/>
    </xf>
    <xf numFmtId="43" fontId="4" fillId="0" borderId="11" xfId="437" applyNumberFormat="1" applyFont="1" applyBorder="1" applyAlignment="1">
      <alignment wrapText="1"/>
    </xf>
    <xf numFmtId="182" fontId="4" fillId="0" borderId="11" xfId="437" applyNumberFormat="1" applyFont="1" applyBorder="1" applyAlignment="1">
      <alignment horizontal="center" vertical="center" wrapText="1"/>
    </xf>
    <xf numFmtId="4" fontId="4" fillId="0" borderId="11" xfId="437" applyNumberFormat="1" applyFont="1" applyBorder="1" applyAlignment="1">
      <alignment horizontal="center" vertical="center"/>
    </xf>
    <xf numFmtId="4" fontId="13" fillId="2" borderId="11" xfId="437" applyNumberFormat="1" applyFont="1" applyFill="1" applyBorder="1" applyAlignment="1">
      <alignment horizontal="center" vertical="center"/>
    </xf>
    <xf numFmtId="4" fontId="13" fillId="0" borderId="11" xfId="437" applyNumberFormat="1" applyFont="1" applyBorder="1" applyAlignment="1">
      <alignment horizontal="right" vertical="center"/>
    </xf>
    <xf numFmtId="4" fontId="13" fillId="0" borderId="11" xfId="0" applyNumberFormat="1" applyFont="1" applyBorder="1" applyAlignment="1">
      <alignment vertical="center"/>
    </xf>
    <xf numFmtId="4" fontId="4" fillId="0" borderId="11" xfId="437" applyNumberFormat="1" applyFont="1" applyBorder="1" applyAlignment="1">
      <alignment horizontal="center" vertical="center" wrapText="1"/>
    </xf>
    <xf numFmtId="4" fontId="75" fillId="0" borderId="11" xfId="390" applyNumberFormat="1" applyFont="1" applyBorder="1" applyAlignment="1">
      <alignment horizontal="right" vertical="center"/>
    </xf>
    <xf numFmtId="4" fontId="75" fillId="0" borderId="11" xfId="0" applyNumberFormat="1" applyFont="1" applyBorder="1" applyAlignment="1">
      <alignment horizontal="right" vertical="center"/>
    </xf>
    <xf numFmtId="4" fontId="13" fillId="0" borderId="11" xfId="437" applyNumberFormat="1" applyFont="1" applyBorder="1" applyAlignment="1">
      <alignment horizontal="center" vertical="center"/>
    </xf>
    <xf numFmtId="4" fontId="7" fillId="28" borderId="46" xfId="0" applyNumberFormat="1" applyFont="1" applyFill="1" applyBorder="1" applyAlignment="1">
      <alignment horizontal="left" vertical="center" wrapText="1"/>
    </xf>
    <xf numFmtId="4" fontId="74" fillId="28" borderId="11" xfId="0" applyNumberFormat="1" applyFont="1" applyFill="1" applyBorder="1" applyAlignment="1">
      <alignment horizontal="center" vertical="center"/>
    </xf>
    <xf numFmtId="4" fontId="29" fillId="28" borderId="45" xfId="0" applyNumberFormat="1" applyFont="1" applyFill="1" applyBorder="1" applyAlignment="1">
      <alignment horizontal="center" vertical="center"/>
    </xf>
    <xf numFmtId="4" fontId="29" fillId="28" borderId="11" xfId="0" applyNumberFormat="1" applyFont="1" applyFill="1" applyBorder="1" applyAlignment="1">
      <alignment horizontal="center" vertical="center"/>
    </xf>
    <xf numFmtId="4" fontId="29" fillId="28" borderId="47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75" fillId="0" borderId="11" xfId="390" applyNumberFormat="1" applyFont="1" applyBorder="1" applyAlignment="1">
      <alignment vertical="center"/>
    </xf>
    <xf numFmtId="4" fontId="3" fillId="6" borderId="10" xfId="331" quotePrefix="1" applyNumberFormat="1" applyFont="1" applyFill="1" applyBorder="1" applyAlignment="1">
      <alignment horizontal="center" vertical="center"/>
    </xf>
    <xf numFmtId="44" fontId="3" fillId="6" borderId="10" xfId="28" quotePrefix="1" applyFont="1" applyFill="1" applyBorder="1" applyAlignment="1">
      <alignment horizontal="center" vertical="center"/>
    </xf>
    <xf numFmtId="4" fontId="4" fillId="0" borderId="11" xfId="437" applyNumberFormat="1" applyFont="1" applyBorder="1" applyAlignment="1">
      <alignment horizontal="right" vertical="center" wrapText="1"/>
    </xf>
    <xf numFmtId="4" fontId="13" fillId="2" borderId="11" xfId="437" applyNumberFormat="1" applyFont="1" applyFill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13" fillId="0" borderId="11" xfId="437" applyNumberFormat="1" applyFont="1" applyBorder="1" applyAlignment="1">
      <alignment vertical="center"/>
    </xf>
    <xf numFmtId="4" fontId="7" fillId="5" borderId="45" xfId="437" applyNumberFormat="1" applyFont="1" applyFill="1" applyBorder="1" applyAlignment="1">
      <alignment horizontal="right"/>
    </xf>
    <xf numFmtId="4" fontId="7" fillId="5" borderId="16" xfId="437" applyNumberFormat="1" applyFont="1" applyFill="1" applyBorder="1" applyAlignment="1">
      <alignment horizontal="center"/>
    </xf>
    <xf numFmtId="4" fontId="7" fillId="5" borderId="44" xfId="437" applyNumberFormat="1" applyFont="1" applyFill="1" applyBorder="1" applyAlignment="1">
      <alignment horizontal="right"/>
    </xf>
    <xf numFmtId="4" fontId="13" fillId="2" borderId="11" xfId="437" applyNumberFormat="1" applyFont="1" applyFill="1" applyBorder="1" applyAlignment="1">
      <alignment vertical="center"/>
    </xf>
    <xf numFmtId="0" fontId="60" fillId="0" borderId="0" xfId="0" applyFont="1" applyAlignment="1">
      <alignment horizontal="left"/>
    </xf>
    <xf numFmtId="0" fontId="60" fillId="0" borderId="11" xfId="0" applyFont="1" applyBorder="1" applyAlignment="1">
      <alignment horizontal="center"/>
    </xf>
    <xf numFmtId="4" fontId="60" fillId="0" borderId="11" xfId="0" applyNumberFormat="1" applyFont="1" applyBorder="1" applyAlignment="1">
      <alignment horizontal="center"/>
    </xf>
    <xf numFmtId="0" fontId="29" fillId="0" borderId="0" xfId="0" applyFont="1"/>
    <xf numFmtId="4" fontId="29" fillId="0" borderId="0" xfId="0" applyNumberFormat="1" applyFont="1" applyAlignment="1">
      <alignment horizontal="center"/>
    </xf>
    <xf numFmtId="4" fontId="7" fillId="28" borderId="11" xfId="0" applyNumberFormat="1" applyFont="1" applyFill="1" applyBorder="1" applyAlignment="1">
      <alignment horizontal="left" vertical="center" wrapText="1"/>
    </xf>
    <xf numFmtId="0" fontId="4" fillId="0" borderId="11" xfId="437" applyFont="1" applyBorder="1" applyAlignment="1">
      <alignment horizontal="left"/>
    </xf>
    <xf numFmtId="2" fontId="4" fillId="0" borderId="11" xfId="437" applyNumberFormat="1" applyFont="1" applyBorder="1" applyAlignment="1">
      <alignment horizontal="center" vertical="center"/>
    </xf>
    <xf numFmtId="0" fontId="4" fillId="0" borderId="11" xfId="437" applyFont="1" applyBorder="1" applyAlignment="1">
      <alignment horizontal="center" vertical="center"/>
    </xf>
    <xf numFmtId="2" fontId="75" fillId="0" borderId="11" xfId="390" applyNumberFormat="1" applyFont="1" applyBorder="1" applyAlignment="1">
      <alignment horizontal="center" vertical="center"/>
    </xf>
    <xf numFmtId="0" fontId="75" fillId="0" borderId="11" xfId="390" applyFont="1" applyBorder="1" applyAlignment="1">
      <alignment horizontal="center" vertical="center"/>
    </xf>
    <xf numFmtId="0" fontId="4" fillId="0" borderId="11" xfId="437" applyFont="1" applyBorder="1" applyAlignment="1">
      <alignment horizontal="left" wrapText="1"/>
    </xf>
    <xf numFmtId="0" fontId="7" fillId="28" borderId="35" xfId="0" applyFont="1" applyFill="1" applyBorder="1" applyAlignment="1">
      <alignment horizontal="center" vertical="center"/>
    </xf>
    <xf numFmtId="4" fontId="13" fillId="0" borderId="45" xfId="437" applyNumberFormat="1" applyFont="1" applyBorder="1" applyAlignment="1">
      <alignment horizontal="right" vertical="center"/>
    </xf>
    <xf numFmtId="0" fontId="75" fillId="0" borderId="0" xfId="0" applyFont="1"/>
    <xf numFmtId="4" fontId="12" fillId="0" borderId="0" xfId="437" applyNumberFormat="1" applyFont="1" applyAlignment="1">
      <alignment horizontal="right"/>
    </xf>
    <xf numFmtId="4" fontId="12" fillId="0" borderId="0" xfId="437" applyNumberFormat="1" applyFont="1" applyAlignment="1">
      <alignment horizontal="center"/>
    </xf>
    <xf numFmtId="4" fontId="12" fillId="0" borderId="43" xfId="437" applyNumberFormat="1" applyFont="1" applyBorder="1" applyAlignment="1">
      <alignment horizontal="right"/>
    </xf>
    <xf numFmtId="4" fontId="12" fillId="0" borderId="16" xfId="437" applyNumberFormat="1" applyFont="1" applyBorder="1" applyAlignment="1">
      <alignment horizontal="center"/>
    </xf>
    <xf numFmtId="4" fontId="12" fillId="0" borderId="44" xfId="437" applyNumberFormat="1" applyFont="1" applyBorder="1" applyAlignment="1">
      <alignment horizontal="right"/>
    </xf>
    <xf numFmtId="4" fontId="31" fillId="0" borderId="34" xfId="390" applyNumberFormat="1" applyFont="1" applyBorder="1" applyAlignment="1">
      <alignment horizontal="center" vertical="center"/>
    </xf>
    <xf numFmtId="4" fontId="31" fillId="0" borderId="34" xfId="28" applyNumberFormat="1" applyFont="1" applyBorder="1" applyAlignment="1">
      <alignment horizontal="right"/>
    </xf>
    <xf numFmtId="0" fontId="31" fillId="0" borderId="34" xfId="390" applyFont="1" applyBorder="1" applyAlignment="1">
      <alignment horizontal="left" vertical="center"/>
    </xf>
    <xf numFmtId="0" fontId="31" fillId="0" borderId="34" xfId="390" applyFont="1" applyBorder="1" applyAlignment="1">
      <alignment horizontal="left" vertical="center" wrapText="1"/>
    </xf>
    <xf numFmtId="4" fontId="31" fillId="0" borderId="34" xfId="390" applyNumberFormat="1" applyFont="1" applyBorder="1" applyAlignment="1">
      <alignment horizontal="right" vertical="center"/>
    </xf>
    <xf numFmtId="44" fontId="31" fillId="0" borderId="34" xfId="28" applyFont="1" applyBorder="1" applyAlignment="1">
      <alignment horizontal="right" vertical="center"/>
    </xf>
    <xf numFmtId="0" fontId="72" fillId="0" borderId="0" xfId="0" applyFont="1"/>
    <xf numFmtId="0" fontId="36" fillId="0" borderId="11" xfId="0" applyFont="1" applyBorder="1"/>
    <xf numFmtId="4" fontId="36" fillId="0" borderId="11" xfId="0" applyNumberFormat="1" applyFont="1" applyBorder="1"/>
    <xf numFmtId="4" fontId="36" fillId="0" borderId="11" xfId="0" applyNumberFormat="1" applyFont="1" applyBorder="1" applyAlignment="1">
      <alignment horizontal="center"/>
    </xf>
    <xf numFmtId="4" fontId="82" fillId="0" borderId="11" xfId="274" applyNumberFormat="1" applyFont="1" applyBorder="1"/>
    <xf numFmtId="183" fontId="82" fillId="0" borderId="11" xfId="274" applyNumberFormat="1" applyFont="1" applyBorder="1" applyAlignment="1">
      <alignment horizontal="right"/>
    </xf>
    <xf numFmtId="0" fontId="63" fillId="0" borderId="11" xfId="274" applyFont="1" applyBorder="1" applyAlignment="1">
      <alignment horizontal="center"/>
    </xf>
    <xf numFmtId="4" fontId="63" fillId="0" borderId="11" xfId="21" applyNumberFormat="1" applyFont="1" applyFill="1" applyBorder="1"/>
    <xf numFmtId="0" fontId="36" fillId="0" borderId="0" xfId="0" applyFont="1"/>
    <xf numFmtId="4" fontId="36" fillId="0" borderId="0" xfId="0" applyNumberFormat="1" applyFont="1" applyAlignment="1">
      <alignment horizontal="center"/>
    </xf>
    <xf numFmtId="4" fontId="79" fillId="0" borderId="0" xfId="21" applyNumberFormat="1" applyFont="1" applyFill="1" applyBorder="1"/>
    <xf numFmtId="4" fontId="82" fillId="0" borderId="11" xfId="274" applyNumberFormat="1" applyFont="1" applyBorder="1" applyAlignment="1">
      <alignment horizontal="right"/>
    </xf>
    <xf numFmtId="4" fontId="63" fillId="0" borderId="11" xfId="274" applyNumberFormat="1" applyFont="1" applyBorder="1" applyAlignment="1">
      <alignment horizontal="center"/>
    </xf>
    <xf numFmtId="0" fontId="76" fillId="0" borderId="0" xfId="0" applyFont="1"/>
    <xf numFmtId="4" fontId="82" fillId="0" borderId="11" xfId="21" applyNumberFormat="1" applyFont="1" applyFill="1" applyBorder="1" applyAlignment="1">
      <alignment horizontal="right"/>
    </xf>
    <xf numFmtId="4" fontId="71" fillId="0" borderId="0" xfId="21" applyNumberFormat="1" applyFont="1" applyFill="1" applyBorder="1" applyAlignment="1">
      <alignment horizontal="right" wrapText="1"/>
    </xf>
    <xf numFmtId="0" fontId="31" fillId="0" borderId="34" xfId="275" applyFont="1" applyBorder="1" applyAlignment="1">
      <alignment vertical="center" wrapText="1"/>
    </xf>
    <xf numFmtId="4" fontId="31" fillId="0" borderId="34" xfId="275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31" fillId="27" borderId="34" xfId="275" applyNumberFormat="1" applyFont="1" applyFill="1" applyBorder="1" applyAlignment="1">
      <alignment horizontal="right"/>
    </xf>
    <xf numFmtId="0" fontId="31" fillId="27" borderId="34" xfId="275" applyFont="1" applyFill="1" applyBorder="1" applyAlignment="1">
      <alignment horizontal="center" vertical="center"/>
    </xf>
    <xf numFmtId="2" fontId="59" fillId="27" borderId="34" xfId="292" applyNumberFormat="1" applyFont="1" applyFill="1" applyBorder="1"/>
    <xf numFmtId="4" fontId="35" fillId="0" borderId="0" xfId="4" applyNumberFormat="1" applyFont="1" applyAlignment="1">
      <alignment horizontal="right"/>
    </xf>
    <xf numFmtId="4" fontId="35" fillId="0" borderId="0" xfId="29" applyNumberFormat="1" applyFont="1" applyFill="1" applyBorder="1" applyAlignment="1">
      <alignment horizontal="right"/>
    </xf>
    <xf numFmtId="2" fontId="3" fillId="0" borderId="34" xfId="0" applyNumberFormat="1" applyFont="1" applyBorder="1" applyAlignment="1">
      <alignment horizontal="center" vertical="top"/>
    </xf>
    <xf numFmtId="4" fontId="71" fillId="0" borderId="0" xfId="432" applyNumberFormat="1" applyFont="1" applyFill="1" applyBorder="1" applyAlignment="1">
      <alignment horizontal="center" wrapText="1"/>
    </xf>
    <xf numFmtId="4" fontId="81" fillId="0" borderId="0" xfId="432" applyNumberFormat="1" applyFont="1" applyFill="1" applyBorder="1" applyAlignment="1">
      <alignment horizontal="right" wrapText="1"/>
    </xf>
    <xf numFmtId="4" fontId="71" fillId="0" borderId="0" xfId="432" applyNumberFormat="1" applyFont="1" applyFill="1" applyBorder="1" applyAlignment="1">
      <alignment horizontal="right" wrapText="1"/>
    </xf>
    <xf numFmtId="4" fontId="63" fillId="0" borderId="0" xfId="432" applyNumberFormat="1" applyFont="1" applyBorder="1" applyAlignment="1" applyProtection="1">
      <alignment horizontal="center" wrapText="1"/>
    </xf>
    <xf numFmtId="0" fontId="71" fillId="6" borderId="0" xfId="0" applyFont="1" applyFill="1"/>
    <xf numFmtId="166" fontId="71" fillId="6" borderId="0" xfId="432" applyFont="1" applyFill="1" applyAlignment="1">
      <alignment horizontal="center"/>
    </xf>
    <xf numFmtId="166" fontId="71" fillId="6" borderId="0" xfId="432" applyFont="1" applyFill="1" applyAlignment="1">
      <alignment horizontal="right"/>
    </xf>
    <xf numFmtId="166" fontId="71" fillId="6" borderId="0" xfId="432" applyFont="1" applyFill="1" applyBorder="1" applyAlignment="1">
      <alignment horizontal="center" wrapText="1"/>
    </xf>
    <xf numFmtId="0" fontId="71" fillId="0" borderId="0" xfId="0" applyFont="1"/>
    <xf numFmtId="166" fontId="71" fillId="0" borderId="0" xfId="432" applyFont="1" applyFill="1" applyBorder="1" applyAlignment="1">
      <alignment horizontal="center"/>
    </xf>
    <xf numFmtId="166" fontId="71" fillId="0" borderId="0" xfId="432" applyFont="1" applyFill="1" applyBorder="1" applyAlignment="1">
      <alignment horizontal="right"/>
    </xf>
    <xf numFmtId="166" fontId="71" fillId="0" borderId="0" xfId="432" applyFont="1" applyFill="1" applyBorder="1" applyAlignment="1">
      <alignment horizontal="center" wrapText="1"/>
    </xf>
    <xf numFmtId="0" fontId="63" fillId="0" borderId="0" xfId="0" applyFont="1"/>
    <xf numFmtId="166" fontId="63" fillId="0" borderId="0" xfId="432" applyFont="1" applyFill="1" applyAlignment="1">
      <alignment horizontal="center" wrapText="1"/>
    </xf>
    <xf numFmtId="166" fontId="63" fillId="0" borderId="0" xfId="432" applyFont="1" applyAlignment="1" applyProtection="1">
      <alignment horizontal="center" wrapText="1"/>
    </xf>
    <xf numFmtId="166" fontId="63" fillId="0" borderId="0" xfId="432" applyFont="1" applyAlignment="1" applyProtection="1">
      <alignment horizontal="right" wrapText="1"/>
    </xf>
    <xf numFmtId="166" fontId="63" fillId="0" borderId="0" xfId="432" applyFont="1" applyFill="1" applyAlignment="1">
      <alignment horizontal="right" wrapText="1"/>
    </xf>
    <xf numFmtId="166" fontId="71" fillId="0" borderId="0" xfId="432" applyFont="1" applyFill="1" applyAlignment="1">
      <alignment horizontal="center" wrapText="1"/>
    </xf>
    <xf numFmtId="4" fontId="29" fillId="0" borderId="0" xfId="0" applyNumberFormat="1" applyFont="1"/>
    <xf numFmtId="0" fontId="29" fillId="0" borderId="34" xfId="0" applyFont="1" applyBorder="1"/>
    <xf numFmtId="0" fontId="0" fillId="0" borderId="34" xfId="0" applyBorder="1" applyAlignment="1">
      <alignment horizontal="center"/>
    </xf>
    <xf numFmtId="0" fontId="75" fillId="0" borderId="34" xfId="437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0" fillId="0" borderId="34" xfId="0" applyBorder="1"/>
    <xf numFmtId="4" fontId="75" fillId="0" borderId="34" xfId="437" applyNumberFormat="1" applyFont="1" applyBorder="1" applyAlignment="1">
      <alignment horizontal="right"/>
    </xf>
    <xf numFmtId="39" fontId="71" fillId="2" borderId="34" xfId="0" applyNumberFormat="1" applyFont="1" applyFill="1" applyBorder="1"/>
    <xf numFmtId="166" fontId="71" fillId="2" borderId="34" xfId="432" applyFont="1" applyFill="1" applyBorder="1" applyAlignment="1">
      <alignment horizontal="center" wrapText="1"/>
    </xf>
    <xf numFmtId="166" fontId="71" fillId="2" borderId="34" xfId="432" applyFont="1" applyFill="1" applyBorder="1" applyAlignment="1">
      <alignment horizontal="center"/>
    </xf>
    <xf numFmtId="166" fontId="71" fillId="2" borderId="34" xfId="432" applyFont="1" applyFill="1" applyBorder="1" applyAlignment="1">
      <alignment horizontal="right"/>
    </xf>
    <xf numFmtId="39" fontId="71" fillId="0" borderId="34" xfId="0" applyNumberFormat="1" applyFont="1" applyBorder="1"/>
    <xf numFmtId="166" fontId="71" fillId="0" borderId="34" xfId="432" applyFont="1" applyFill="1" applyBorder="1" applyAlignment="1" applyProtection="1">
      <alignment horizontal="center" wrapText="1"/>
    </xf>
    <xf numFmtId="166" fontId="63" fillId="0" borderId="34" xfId="432" applyFont="1" applyFill="1" applyBorder="1" applyAlignment="1" applyProtection="1">
      <alignment horizontal="right" wrapText="1"/>
    </xf>
    <xf numFmtId="39" fontId="63" fillId="0" borderId="34" xfId="0" applyNumberFormat="1" applyFont="1" applyBorder="1"/>
    <xf numFmtId="166" fontId="63" fillId="0" borderId="34" xfId="432" applyFont="1" applyFill="1" applyBorder="1" applyAlignment="1" applyProtection="1">
      <alignment horizontal="center" wrapText="1"/>
    </xf>
    <xf numFmtId="166" fontId="63" fillId="0" borderId="34" xfId="432" applyFont="1" applyBorder="1" applyAlignment="1" applyProtection="1">
      <alignment horizontal="center" wrapText="1"/>
    </xf>
    <xf numFmtId="166" fontId="63" fillId="0" borderId="34" xfId="432" applyFont="1" applyBorder="1" applyAlignment="1" applyProtection="1">
      <alignment horizontal="right" wrapText="1"/>
    </xf>
    <xf numFmtId="183" fontId="82" fillId="0" borderId="34" xfId="437" applyNumberFormat="1" applyFont="1" applyBorder="1" applyAlignment="1">
      <alignment horizontal="right"/>
    </xf>
    <xf numFmtId="166" fontId="71" fillId="0" borderId="34" xfId="432" applyFont="1" applyFill="1" applyBorder="1" applyAlignment="1">
      <alignment horizontal="center" wrapText="1"/>
    </xf>
    <xf numFmtId="166" fontId="71" fillId="0" borderId="34" xfId="432" applyFont="1" applyFill="1" applyBorder="1" applyAlignment="1">
      <alignment horizontal="right" wrapText="1"/>
    </xf>
    <xf numFmtId="166" fontId="71" fillId="0" borderId="0" xfId="432" applyFont="1" applyFill="1" applyBorder="1" applyAlignment="1" applyProtection="1">
      <alignment horizontal="center" wrapText="1"/>
    </xf>
    <xf numFmtId="166" fontId="63" fillId="0" borderId="0" xfId="432" applyFont="1" applyFill="1" applyBorder="1" applyAlignment="1" applyProtection="1">
      <alignment horizontal="center" wrapText="1"/>
    </xf>
    <xf numFmtId="4" fontId="82" fillId="0" borderId="0" xfId="4" applyNumberFormat="1" applyFont="1"/>
    <xf numFmtId="4" fontId="71" fillId="0" borderId="0" xfId="21" applyNumberFormat="1" applyFont="1" applyFill="1" applyBorder="1"/>
    <xf numFmtId="49" fontId="82" fillId="0" borderId="11" xfId="4" applyNumberFormat="1" applyFont="1" applyBorder="1" applyAlignment="1">
      <alignment horizontal="justify" vertical="distributed"/>
    </xf>
    <xf numFmtId="183" fontId="79" fillId="0" borderId="11" xfId="4" applyNumberFormat="1" applyFont="1" applyBorder="1" applyAlignment="1">
      <alignment horizontal="right"/>
    </xf>
    <xf numFmtId="49" fontId="79" fillId="0" borderId="11" xfId="4" applyNumberFormat="1" applyFont="1" applyBorder="1" applyAlignment="1">
      <alignment horizontal="center"/>
    </xf>
    <xf numFmtId="4" fontId="71" fillId="0" borderId="11" xfId="4" applyNumberFormat="1" applyFont="1" applyBorder="1" applyAlignment="1">
      <alignment horizontal="center"/>
    </xf>
    <xf numFmtId="49" fontId="79" fillId="0" borderId="11" xfId="4" applyNumberFormat="1" applyFont="1" applyBorder="1" applyAlignment="1">
      <alignment horizontal="justify" vertical="distributed"/>
    </xf>
    <xf numFmtId="0" fontId="82" fillId="0" borderId="11" xfId="4" applyFont="1" applyBorder="1" applyAlignment="1">
      <alignment horizontal="right"/>
    </xf>
    <xf numFmtId="49" fontId="82" fillId="0" borderId="11" xfId="4" applyNumberFormat="1" applyFont="1" applyBorder="1" applyAlignment="1">
      <alignment horizontal="center"/>
    </xf>
    <xf numFmtId="4" fontId="63" fillId="0" borderId="11" xfId="21" applyNumberFormat="1" applyFont="1" applyFill="1" applyBorder="1" applyAlignment="1">
      <alignment horizontal="right"/>
    </xf>
    <xf numFmtId="4" fontId="82" fillId="0" borderId="11" xfId="4" applyNumberFormat="1" applyFont="1" applyBorder="1"/>
    <xf numFmtId="183" fontId="82" fillId="0" borderId="11" xfId="4" applyNumberFormat="1" applyFont="1" applyBorder="1" applyAlignment="1">
      <alignment horizontal="right"/>
    </xf>
    <xf numFmtId="4" fontId="82" fillId="0" borderId="11" xfId="21" applyNumberFormat="1" applyFont="1" applyFill="1" applyBorder="1"/>
    <xf numFmtId="49" fontId="82" fillId="0" borderId="11" xfId="4" applyNumberFormat="1" applyFont="1" applyBorder="1"/>
    <xf numFmtId="4" fontId="71" fillId="0" borderId="11" xfId="21" applyNumberFormat="1" applyFont="1" applyFill="1" applyBorder="1"/>
    <xf numFmtId="4" fontId="79" fillId="0" borderId="11" xfId="21" applyNumberFormat="1" applyFont="1" applyFill="1" applyBorder="1"/>
    <xf numFmtId="39" fontId="79" fillId="0" borderId="11" xfId="0" applyNumberFormat="1" applyFont="1" applyBorder="1"/>
    <xf numFmtId="39" fontId="82" fillId="0" borderId="11" xfId="0" applyNumberFormat="1" applyFont="1" applyBorder="1"/>
    <xf numFmtId="0" fontId="10" fillId="0" borderId="0" xfId="0" applyFont="1" applyAlignment="1">
      <alignment vertical="center"/>
    </xf>
    <xf numFmtId="49" fontId="82" fillId="0" borderId="0" xfId="4" applyNumberFormat="1" applyFont="1" applyAlignment="1">
      <alignment horizontal="justify" vertical="distributed"/>
    </xf>
    <xf numFmtId="49" fontId="82" fillId="0" borderId="0" xfId="4" applyNumberFormat="1" applyFont="1"/>
    <xf numFmtId="0" fontId="82" fillId="0" borderId="0" xfId="4" applyFont="1" applyAlignment="1">
      <alignment horizontal="right"/>
    </xf>
    <xf numFmtId="39" fontId="63" fillId="0" borderId="11" xfId="0" applyNumberFormat="1" applyFont="1" applyBorder="1"/>
    <xf numFmtId="166" fontId="63" fillId="0" borderId="11" xfId="432" applyFont="1" applyFill="1" applyBorder="1" applyAlignment="1" applyProtection="1">
      <alignment horizontal="center" wrapText="1"/>
    </xf>
    <xf numFmtId="166" fontId="63" fillId="0" borderId="11" xfId="432" applyFont="1" applyBorder="1" applyAlignment="1" applyProtection="1">
      <alignment horizontal="right" wrapText="1"/>
    </xf>
    <xf numFmtId="0" fontId="31" fillId="0" borderId="0" xfId="4" applyFont="1"/>
    <xf numFmtId="2" fontId="31" fillId="0" borderId="0" xfId="4" applyNumberFormat="1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4" fontId="34" fillId="0" borderId="0" xfId="4" applyNumberFormat="1" applyFont="1" applyAlignment="1">
      <alignment horizontal="right"/>
    </xf>
    <xf numFmtId="44" fontId="34" fillId="0" borderId="0" xfId="247" applyFont="1" applyFill="1" applyBorder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right"/>
    </xf>
    <xf numFmtId="4" fontId="35" fillId="0" borderId="0" xfId="28" applyNumberFormat="1" applyFont="1" applyFill="1" applyBorder="1" applyAlignment="1" applyProtection="1">
      <alignment horizontal="right" vertical="center"/>
    </xf>
    <xf numFmtId="0" fontId="73" fillId="5" borderId="51" xfId="0" applyFont="1" applyFill="1" applyBorder="1" applyAlignment="1">
      <alignment horizontal="left" wrapText="1"/>
    </xf>
    <xf numFmtId="4" fontId="73" fillId="5" borderId="51" xfId="0" applyNumberFormat="1" applyFont="1" applyFill="1" applyBorder="1" applyAlignment="1">
      <alignment horizontal="center"/>
    </xf>
    <xf numFmtId="4" fontId="73" fillId="5" borderId="52" xfId="0" applyNumberFormat="1" applyFont="1" applyFill="1" applyBorder="1" applyAlignment="1">
      <alignment horizontal="center"/>
    </xf>
    <xf numFmtId="4" fontId="73" fillId="5" borderId="53" xfId="0" applyNumberFormat="1" applyFont="1" applyFill="1" applyBorder="1" applyAlignment="1">
      <alignment horizontal="center"/>
    </xf>
    <xf numFmtId="0" fontId="13" fillId="0" borderId="11" xfId="438" applyFont="1" applyBorder="1" applyAlignment="1">
      <alignment horizontal="left" vertical="center" wrapText="1"/>
    </xf>
    <xf numFmtId="4" fontId="13" fillId="0" borderId="11" xfId="438" applyNumberFormat="1" applyFont="1" applyBorder="1" applyAlignment="1">
      <alignment horizontal="center" vertical="center"/>
    </xf>
    <xf numFmtId="4" fontId="13" fillId="0" borderId="11" xfId="438" applyNumberFormat="1" applyFont="1" applyBorder="1" applyAlignment="1">
      <alignment horizontal="center" vertical="center" wrapText="1"/>
    </xf>
    <xf numFmtId="4" fontId="13" fillId="0" borderId="11" xfId="438" applyNumberFormat="1" applyFont="1" applyBorder="1" applyAlignment="1">
      <alignment horizontal="right"/>
    </xf>
    <xf numFmtId="4" fontId="13" fillId="0" borderId="11" xfId="438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4" fontId="23" fillId="0" borderId="0" xfId="0" applyNumberFormat="1" applyFont="1" applyAlignment="1">
      <alignment horizontal="center"/>
    </xf>
    <xf numFmtId="4" fontId="12" fillId="5" borderId="16" xfId="438" applyNumberFormat="1" applyFont="1" applyFill="1" applyBorder="1" applyAlignment="1">
      <alignment horizontal="right"/>
    </xf>
    <xf numFmtId="4" fontId="12" fillId="5" borderId="16" xfId="438" applyNumberFormat="1" applyFont="1" applyFill="1" applyBorder="1" applyAlignment="1">
      <alignment horizontal="center"/>
    </xf>
    <xf numFmtId="4" fontId="12" fillId="5" borderId="44" xfId="438" applyNumberFormat="1" applyFont="1" applyFill="1" applyBorder="1" applyAlignment="1">
      <alignment horizontal="right"/>
    </xf>
    <xf numFmtId="4" fontId="12" fillId="28" borderId="34" xfId="0" applyNumberFormat="1" applyFont="1" applyFill="1" applyBorder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2" fontId="63" fillId="0" borderId="0" xfId="0" applyNumberFormat="1" applyFont="1" applyAlignment="1">
      <alignment vertical="center"/>
    </xf>
    <xf numFmtId="2" fontId="63" fillId="0" borderId="0" xfId="0" applyNumberFormat="1" applyFont="1" applyAlignment="1">
      <alignment horizontal="center" vertical="center"/>
    </xf>
    <xf numFmtId="0" fontId="36" fillId="0" borderId="0" xfId="0" applyFont="1" applyAlignment="1">
      <alignment wrapText="1"/>
    </xf>
    <xf numFmtId="184" fontId="36" fillId="0" borderId="0" xfId="0" applyNumberFormat="1" applyFont="1"/>
    <xf numFmtId="4" fontId="36" fillId="0" borderId="0" xfId="0" applyNumberFormat="1" applyFont="1" applyAlignment="1">
      <alignment vertical="top"/>
    </xf>
    <xf numFmtId="185" fontId="4" fillId="0" borderId="34" xfId="437" applyNumberFormat="1" applyFont="1" applyBorder="1" applyAlignment="1">
      <alignment horizontal="center" vertical="center" wrapText="1"/>
    </xf>
    <xf numFmtId="0" fontId="4" fillId="0" borderId="34" xfId="437" applyFont="1" applyBorder="1" applyAlignment="1">
      <alignment horizontal="center" vertical="center"/>
    </xf>
    <xf numFmtId="4" fontId="35" fillId="0" borderId="0" xfId="28" applyNumberFormat="1" applyFont="1" applyFill="1" applyBorder="1" applyAlignment="1">
      <alignment horizontal="right"/>
    </xf>
    <xf numFmtId="0" fontId="65" fillId="0" borderId="0" xfId="439"/>
    <xf numFmtId="0" fontId="66" fillId="0" borderId="0" xfId="439" applyFont="1"/>
    <xf numFmtId="0" fontId="67" fillId="0" borderId="0" xfId="439" applyFont="1"/>
    <xf numFmtId="0" fontId="66" fillId="0" borderId="0" xfId="439" applyFont="1" applyAlignment="1">
      <alignment horizontal="center"/>
    </xf>
    <xf numFmtId="166" fontId="66" fillId="0" borderId="0" xfId="440" applyFont="1"/>
    <xf numFmtId="4" fontId="13" fillId="0" borderId="11" xfId="0" applyNumberFormat="1" applyFont="1" applyBorder="1" applyAlignment="1">
      <alignment horizontal="right" vertical="center"/>
    </xf>
    <xf numFmtId="4" fontId="12" fillId="4" borderId="11" xfId="2" applyNumberFormat="1" applyFont="1" applyFill="1" applyBorder="1" applyAlignment="1">
      <alignment horizontal="right" vertical="justify"/>
    </xf>
    <xf numFmtId="4" fontId="12" fillId="4" borderId="11" xfId="2" applyNumberFormat="1" applyFont="1" applyFill="1" applyBorder="1" applyAlignment="1">
      <alignment horizontal="right" vertical="center"/>
    </xf>
    <xf numFmtId="0" fontId="13" fillId="2" borderId="7" xfId="2" applyFont="1" applyFill="1" applyBorder="1" applyAlignment="1">
      <alignment horizontal="left" vertical="center"/>
    </xf>
    <xf numFmtId="0" fontId="7" fillId="2" borderId="0" xfId="2" applyFont="1" applyFill="1" applyAlignment="1">
      <alignment horizontal="justify" vertical="justify"/>
    </xf>
    <xf numFmtId="2" fontId="13" fillId="0" borderId="11" xfId="4" applyNumberFormat="1" applyFont="1" applyBorder="1" applyAlignment="1">
      <alignment horizontal="center" vertical="center"/>
    </xf>
    <xf numFmtId="43" fontId="23" fillId="0" borderId="10" xfId="10" applyFont="1" applyFill="1" applyBorder="1" applyAlignment="1" applyProtection="1">
      <alignment horizontal="right"/>
      <protection hidden="1"/>
    </xf>
    <xf numFmtId="4" fontId="12" fillId="4" borderId="11" xfId="2" applyNumberFormat="1" applyFont="1" applyFill="1" applyBorder="1" applyAlignment="1">
      <alignment horizontal="left" vertical="justify"/>
    </xf>
    <xf numFmtId="0" fontId="19" fillId="0" borderId="0" xfId="7" applyFont="1"/>
    <xf numFmtId="0" fontId="14" fillId="0" borderId="0" xfId="7" applyFont="1"/>
    <xf numFmtId="0" fontId="14" fillId="0" borderId="0" xfId="7" applyFont="1" applyAlignment="1">
      <alignment horizontal="center"/>
    </xf>
    <xf numFmtId="0" fontId="15" fillId="0" borderId="10" xfId="6" applyFont="1" applyBorder="1" applyAlignment="1">
      <alignment horizontal="left" vertical="center"/>
    </xf>
    <xf numFmtId="0" fontId="16" fillId="3" borderId="11" xfId="6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 wrapText="1"/>
    </xf>
    <xf numFmtId="43" fontId="15" fillId="3" borderId="11" xfId="6" applyNumberFormat="1" applyFont="1" applyFill="1" applyBorder="1" applyAlignment="1">
      <alignment horizontal="center" vertical="center"/>
    </xf>
    <xf numFmtId="0" fontId="67" fillId="0" borderId="4" xfId="431" applyFont="1" applyBorder="1"/>
    <xf numFmtId="0" fontId="67" fillId="0" borderId="0" xfId="431" applyFont="1" applyAlignment="1">
      <alignment vertical="top" wrapText="1"/>
    </xf>
    <xf numFmtId="0" fontId="67" fillId="0" borderId="0" xfId="431" applyFont="1"/>
    <xf numFmtId="0" fontId="67" fillId="0" borderId="5" xfId="431" applyFont="1" applyBorder="1"/>
    <xf numFmtId="0" fontId="65" fillId="0" borderId="0" xfId="431"/>
    <xf numFmtId="1" fontId="12" fillId="4" borderId="13" xfId="1" applyNumberFormat="1" applyFont="1" applyFill="1" applyBorder="1" applyAlignment="1">
      <alignment horizontal="center" vertical="center"/>
    </xf>
    <xf numFmtId="164" fontId="12" fillId="4" borderId="55" xfId="2" applyNumberFormat="1" applyFont="1" applyFill="1" applyBorder="1" applyAlignment="1">
      <alignment horizontal="right" vertical="center"/>
    </xf>
    <xf numFmtId="2" fontId="13" fillId="0" borderId="13" xfId="3" applyNumberFormat="1" applyFont="1" applyFill="1" applyBorder="1" applyAlignment="1">
      <alignment horizontal="center" vertical="center"/>
    </xf>
    <xf numFmtId="4" fontId="13" fillId="0" borderId="55" xfId="4" applyNumberFormat="1" applyFont="1" applyBorder="1" applyAlignment="1">
      <alignment horizontal="right" vertical="center"/>
    </xf>
    <xf numFmtId="4" fontId="12" fillId="0" borderId="55" xfId="4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justify" vertical="center"/>
    </xf>
    <xf numFmtId="4" fontId="13" fillId="0" borderId="11" xfId="2" applyNumberFormat="1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" fontId="13" fillId="0" borderId="11" xfId="2" applyNumberFormat="1" applyFont="1" applyBorder="1" applyAlignment="1">
      <alignment horizontal="right" vertical="center"/>
    </xf>
    <xf numFmtId="164" fontId="13" fillId="0" borderId="55" xfId="2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justify" vertical="justify"/>
    </xf>
    <xf numFmtId="4" fontId="13" fillId="0" borderId="11" xfId="2" applyNumberFormat="1" applyFont="1" applyBorder="1" applyAlignment="1">
      <alignment horizontal="right" vertical="justify"/>
    </xf>
    <xf numFmtId="4" fontId="13" fillId="0" borderId="5" xfId="4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9" fillId="2" borderId="5" xfId="2" applyFont="1" applyFill="1" applyBorder="1" applyAlignment="1">
      <alignment vertical="center"/>
    </xf>
    <xf numFmtId="49" fontId="13" fillId="0" borderId="13" xfId="3" applyNumberFormat="1" applyFont="1" applyFill="1" applyBorder="1" applyAlignment="1">
      <alignment horizontal="center" vertical="center"/>
    </xf>
    <xf numFmtId="49" fontId="12" fillId="4" borderId="13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4" fontId="13" fillId="0" borderId="56" xfId="0" applyNumberFormat="1" applyFont="1" applyBorder="1" applyAlignment="1">
      <alignment vertical="center"/>
    </xf>
    <xf numFmtId="0" fontId="22" fillId="0" borderId="57" xfId="0" applyFont="1" applyBorder="1" applyAlignment="1">
      <alignment vertical="center"/>
    </xf>
    <xf numFmtId="4" fontId="13" fillId="0" borderId="57" xfId="0" applyNumberFormat="1" applyFont="1" applyBorder="1" applyAlignment="1">
      <alignment vertical="center"/>
    </xf>
    <xf numFmtId="4" fontId="13" fillId="0" borderId="57" xfId="4" applyNumberFormat="1" applyFont="1" applyBorder="1" applyAlignment="1">
      <alignment horizontal="right" vertical="center"/>
    </xf>
    <xf numFmtId="4" fontId="13" fillId="0" borderId="11" xfId="0" applyNumberFormat="1" applyFont="1" applyBorder="1" applyAlignment="1">
      <alignment horizontal="center" vertical="center"/>
    </xf>
    <xf numFmtId="4" fontId="63" fillId="0" borderId="11" xfId="15" applyNumberFormat="1" applyFont="1" applyBorder="1" applyAlignment="1">
      <alignment horizontal="center" vertical="center"/>
    </xf>
    <xf numFmtId="4" fontId="63" fillId="0" borderId="11" xfId="13" applyNumberFormat="1" applyFont="1" applyBorder="1" applyAlignment="1">
      <alignment horizontal="center" vertical="center"/>
    </xf>
    <xf numFmtId="4" fontId="63" fillId="0" borderId="11" xfId="23" applyNumberFormat="1" applyFont="1" applyBorder="1" applyAlignment="1">
      <alignment horizontal="right" vertical="center"/>
    </xf>
    <xf numFmtId="0" fontId="15" fillId="3" borderId="13" xfId="6" applyFont="1" applyFill="1" applyBorder="1" applyAlignment="1">
      <alignment horizontal="center" vertical="center"/>
    </xf>
    <xf numFmtId="184" fontId="16" fillId="3" borderId="55" xfId="6" applyNumberFormat="1" applyFont="1" applyFill="1" applyBorder="1" applyAlignment="1">
      <alignment horizontal="right" vertical="center"/>
    </xf>
    <xf numFmtId="39" fontId="15" fillId="0" borderId="5" xfId="6" applyNumberFormat="1" applyFont="1" applyBorder="1" applyAlignment="1">
      <alignment vertical="center"/>
    </xf>
    <xf numFmtId="39" fontId="15" fillId="0" borderId="55" xfId="6" applyNumberFormat="1" applyFont="1" applyBorder="1" applyAlignment="1">
      <alignment vertical="center"/>
    </xf>
    <xf numFmtId="39" fontId="15" fillId="0" borderId="58" xfId="6" applyNumberFormat="1" applyFont="1" applyBorder="1" applyAlignment="1">
      <alignment vertical="center"/>
    </xf>
    <xf numFmtId="0" fontId="24" fillId="0" borderId="0" xfId="0" applyFont="1"/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justify"/>
    </xf>
    <xf numFmtId="184" fontId="16" fillId="5" borderId="20" xfId="6" applyNumberFormat="1" applyFont="1" applyFill="1" applyBorder="1" applyAlignment="1">
      <alignment horizontal="right" vertical="center"/>
    </xf>
    <xf numFmtId="181" fontId="13" fillId="0" borderId="4" xfId="430" applyNumberFormat="1" applyFont="1" applyBorder="1" applyAlignment="1">
      <alignment horizontal="left" vertical="center" wrapText="1"/>
    </xf>
    <xf numFmtId="0" fontId="17" fillId="0" borderId="4" xfId="6" applyFont="1" applyBorder="1" applyAlignment="1">
      <alignment horizontal="center"/>
    </xf>
    <xf numFmtId="0" fontId="18" fillId="0" borderId="0" xfId="7" applyFont="1"/>
    <xf numFmtId="0" fontId="17" fillId="0" borderId="5" xfId="6" applyFont="1" applyBorder="1"/>
    <xf numFmtId="0" fontId="1" fillId="0" borderId="4" xfId="6" applyBorder="1" applyAlignment="1">
      <alignment horizontal="center"/>
    </xf>
    <xf numFmtId="49" fontId="67" fillId="0" borderId="5" xfId="432" applyNumberFormat="1" applyFont="1" applyBorder="1" applyAlignment="1">
      <alignment horizontal="center"/>
    </xf>
    <xf numFmtId="0" fontId="13" fillId="0" borderId="0" xfId="430" applyFont="1" applyAlignment="1">
      <alignment horizontal="left" vertical="center" wrapText="1"/>
    </xf>
    <xf numFmtId="0" fontId="13" fillId="0" borderId="5" xfId="430" applyFont="1" applyBorder="1" applyAlignment="1">
      <alignment horizontal="left" vertical="center" wrapText="1"/>
    </xf>
    <xf numFmtId="0" fontId="67" fillId="0" borderId="0" xfId="439" applyFont="1" applyAlignment="1">
      <alignment wrapText="1"/>
    </xf>
    <xf numFmtId="43" fontId="4" fillId="2" borderId="11" xfId="437" applyNumberFormat="1" applyFont="1" applyFill="1" applyBorder="1" applyAlignment="1">
      <alignment horizontal="center"/>
    </xf>
    <xf numFmtId="4" fontId="4" fillId="2" borderId="11" xfId="437" applyNumberFormat="1" applyFont="1" applyFill="1" applyBorder="1" applyAlignment="1">
      <alignment horizontal="right"/>
    </xf>
    <xf numFmtId="4" fontId="4" fillId="0" borderId="11" xfId="443" applyNumberFormat="1" applyFont="1" applyFill="1" applyBorder="1" applyAlignment="1">
      <alignment horizontal="center" vertical="center"/>
    </xf>
    <xf numFmtId="4" fontId="4" fillId="0" borderId="11" xfId="437" applyNumberFormat="1" applyFont="1" applyBorder="1" applyAlignment="1">
      <alignment horizontal="center"/>
    </xf>
    <xf numFmtId="0" fontId="7" fillId="0" borderId="11" xfId="437" applyFont="1" applyBorder="1" applyAlignment="1">
      <alignment horizontal="left"/>
    </xf>
    <xf numFmtId="0" fontId="4" fillId="0" borderId="0" xfId="437" applyFont="1" applyAlignment="1">
      <alignment horizontal="left"/>
    </xf>
    <xf numFmtId="4" fontId="4" fillId="0" borderId="0" xfId="437" applyNumberFormat="1" applyFont="1" applyAlignment="1">
      <alignment horizontal="center" vertical="center"/>
    </xf>
    <xf numFmtId="0" fontId="4" fillId="0" borderId="0" xfId="437" applyFont="1" applyAlignment="1">
      <alignment horizontal="center" vertical="center"/>
    </xf>
    <xf numFmtId="4" fontId="7" fillId="5" borderId="45" xfId="437" applyNumberFormat="1" applyFont="1" applyFill="1" applyBorder="1" applyAlignment="1">
      <alignment horizontal="center"/>
    </xf>
    <xf numFmtId="4" fontId="7" fillId="5" borderId="46" xfId="437" applyNumberFormat="1" applyFont="1" applyFill="1" applyBorder="1" applyAlignment="1">
      <alignment horizontal="center"/>
    </xf>
    <xf numFmtId="4" fontId="7" fillId="5" borderId="47" xfId="437" applyNumberFormat="1" applyFont="1" applyFill="1" applyBorder="1" applyAlignment="1">
      <alignment horizontal="right"/>
    </xf>
    <xf numFmtId="0" fontId="4" fillId="0" borderId="0" xfId="0" applyFont="1"/>
    <xf numFmtId="4" fontId="7" fillId="5" borderId="43" xfId="437" applyNumberFormat="1" applyFont="1" applyFill="1" applyBorder="1" applyAlignment="1">
      <alignment horizontal="center"/>
    </xf>
    <xf numFmtId="0" fontId="13" fillId="0" borderId="34" xfId="0" applyFont="1" applyBorder="1" applyAlignment="1">
      <alignment horizontal="left" vertical="center" wrapText="1"/>
    </xf>
    <xf numFmtId="2" fontId="13" fillId="0" borderId="34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right" vertical="center"/>
    </xf>
    <xf numFmtId="4" fontId="83" fillId="28" borderId="34" xfId="0" applyNumberFormat="1" applyFont="1" applyFill="1" applyBorder="1" applyAlignment="1">
      <alignment horizontal="center" vertical="center"/>
    </xf>
    <xf numFmtId="4" fontId="83" fillId="28" borderId="46" xfId="0" applyNumberFormat="1" applyFont="1" applyFill="1" applyBorder="1" applyAlignment="1">
      <alignment horizontal="center" vertical="center"/>
    </xf>
    <xf numFmtId="4" fontId="83" fillId="28" borderId="47" xfId="0" applyNumberFormat="1" applyFont="1" applyFill="1" applyBorder="1" applyAlignment="1">
      <alignment horizontal="center" vertical="center"/>
    </xf>
    <xf numFmtId="0" fontId="13" fillId="0" borderId="34" xfId="438" applyFont="1" applyBorder="1" applyAlignment="1">
      <alignment horizontal="left" vertical="center" wrapText="1"/>
    </xf>
    <xf numFmtId="4" fontId="13" fillId="0" borderId="34" xfId="438" applyNumberFormat="1" applyFont="1" applyBorder="1" applyAlignment="1">
      <alignment horizontal="center" vertical="center"/>
    </xf>
    <xf numFmtId="4" fontId="13" fillId="0" borderId="34" xfId="438" applyNumberFormat="1" applyFont="1" applyBorder="1" applyAlignment="1">
      <alignment horizontal="center" vertical="center" wrapText="1"/>
    </xf>
    <xf numFmtId="4" fontId="13" fillId="0" borderId="34" xfId="438" applyNumberFormat="1" applyFont="1" applyBorder="1" applyAlignment="1">
      <alignment horizontal="center"/>
    </xf>
    <xf numFmtId="4" fontId="13" fillId="0" borderId="45" xfId="438" applyNumberFormat="1" applyFont="1" applyBorder="1" applyAlignment="1">
      <alignment horizontal="center" vertical="center" wrapText="1"/>
    </xf>
    <xf numFmtId="4" fontId="13" fillId="0" borderId="34" xfId="438" applyNumberFormat="1" applyFont="1" applyBorder="1" applyAlignment="1">
      <alignment horizontal="right"/>
    </xf>
    <xf numFmtId="4" fontId="13" fillId="0" borderId="47" xfId="438" applyNumberFormat="1" applyFont="1" applyBorder="1" applyAlignment="1">
      <alignment horizontal="center" vertical="center"/>
    </xf>
    <xf numFmtId="0" fontId="13" fillId="0" borderId="34" xfId="438" applyFont="1" applyBorder="1" applyAlignment="1">
      <alignment horizontal="left"/>
    </xf>
    <xf numFmtId="4" fontId="13" fillId="0" borderId="57" xfId="438" applyNumberFormat="1" applyFont="1" applyBorder="1" applyAlignment="1">
      <alignment horizontal="right"/>
    </xf>
    <xf numFmtId="4" fontId="13" fillId="0" borderId="57" xfId="438" applyNumberFormat="1" applyFont="1" applyBorder="1" applyAlignment="1">
      <alignment horizontal="center" vertical="center"/>
    </xf>
    <xf numFmtId="0" fontId="84" fillId="0" borderId="0" xfId="0" applyFont="1"/>
    <xf numFmtId="4" fontId="13" fillId="0" borderId="0" xfId="438" applyNumberFormat="1" applyFont="1" applyAlignment="1">
      <alignment horizontal="center" vertical="center"/>
    </xf>
    <xf numFmtId="4" fontId="12" fillId="5" borderId="45" xfId="438" applyNumberFormat="1" applyFont="1" applyFill="1" applyBorder="1" applyAlignment="1">
      <alignment horizontal="right"/>
    </xf>
    <xf numFmtId="4" fontId="12" fillId="5" borderId="46" xfId="438" applyNumberFormat="1" applyFont="1" applyFill="1" applyBorder="1" applyAlignment="1">
      <alignment horizontal="center"/>
    </xf>
    <xf numFmtId="4" fontId="12" fillId="5" borderId="47" xfId="438" applyNumberFormat="1" applyFont="1" applyFill="1" applyBorder="1" applyAlignment="1">
      <alignment horizontal="right"/>
    </xf>
    <xf numFmtId="164" fontId="13" fillId="0" borderId="55" xfId="2" applyNumberFormat="1" applyFont="1" applyBorder="1" applyAlignment="1">
      <alignment vertical="center"/>
    </xf>
    <xf numFmtId="4" fontId="13" fillId="0" borderId="34" xfId="2" applyNumberFormat="1" applyFont="1" applyBorder="1" applyAlignment="1">
      <alignment horizontal="right" vertical="center"/>
    </xf>
    <xf numFmtId="0" fontId="66" fillId="0" borderId="0" xfId="0" applyFont="1" applyAlignment="1">
      <alignment vertical="center" wrapText="1"/>
    </xf>
    <xf numFmtId="0" fontId="13" fillId="0" borderId="34" xfId="438" applyFont="1" applyBorder="1" applyAlignment="1">
      <alignment horizontal="right" vertical="center" wrapText="1"/>
    </xf>
    <xf numFmtId="4" fontId="13" fillId="0" borderId="34" xfId="438" applyNumberFormat="1" applyFont="1" applyBorder="1" applyAlignment="1">
      <alignment horizontal="right" vertical="center"/>
    </xf>
    <xf numFmtId="4" fontId="13" fillId="0" borderId="34" xfId="438" applyNumberFormat="1" applyFont="1" applyBorder="1" applyAlignment="1">
      <alignment horizontal="right" vertical="center" wrapText="1"/>
    </xf>
    <xf numFmtId="4" fontId="13" fillId="0" borderId="34" xfId="4" applyNumberFormat="1" applyFont="1" applyBorder="1" applyAlignment="1">
      <alignment horizontal="right" vertical="center"/>
    </xf>
    <xf numFmtId="0" fontId="29" fillId="31" borderId="34" xfId="0" applyFont="1" applyFill="1" applyBorder="1" applyAlignment="1">
      <alignment vertical="center" wrapText="1"/>
    </xf>
    <xf numFmtId="183" fontId="0" fillId="0" borderId="34" xfId="0" applyNumberFormat="1" applyBorder="1"/>
    <xf numFmtId="4" fontId="0" fillId="0" borderId="34" xfId="0" applyNumberFormat="1" applyBorder="1" applyAlignment="1">
      <alignment vertical="center"/>
    </xf>
    <xf numFmtId="173" fontId="0" fillId="0" borderId="34" xfId="0" applyNumberFormat="1" applyBorder="1"/>
    <xf numFmtId="4" fontId="29" fillId="0" borderId="34" xfId="0" applyNumberFormat="1" applyFont="1" applyBorder="1"/>
    <xf numFmtId="0" fontId="29" fillId="31" borderId="34" xfId="0" applyFont="1" applyFill="1" applyBorder="1" applyAlignment="1">
      <alignment horizontal="center" vertical="center" wrapText="1"/>
    </xf>
    <xf numFmtId="0" fontId="29" fillId="0" borderId="34" xfId="0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4" fontId="13" fillId="0" borderId="34" xfId="4" applyNumberFormat="1" applyFont="1" applyBorder="1" applyAlignment="1">
      <alignment horizontal="center" vertical="center"/>
    </xf>
    <xf numFmtId="4" fontId="63" fillId="0" borderId="34" xfId="15" applyNumberFormat="1" applyFont="1" applyBorder="1" applyAlignment="1">
      <alignment horizontal="center" vertical="center"/>
    </xf>
    <xf numFmtId="4" fontId="63" fillId="0" borderId="34" xfId="13" applyNumberFormat="1" applyFont="1" applyBorder="1" applyAlignment="1">
      <alignment horizontal="center" vertical="center"/>
    </xf>
    <xf numFmtId="4" fontId="63" fillId="0" borderId="34" xfId="23" applyNumberFormat="1" applyFont="1" applyBorder="1" applyAlignment="1">
      <alignment horizontal="right" vertical="center"/>
    </xf>
    <xf numFmtId="166" fontId="66" fillId="0" borderId="0" xfId="440" applyFont="1" applyAlignment="1">
      <alignment horizontal="center"/>
    </xf>
    <xf numFmtId="4" fontId="66" fillId="0" borderId="0" xfId="439" applyNumberFormat="1" applyFont="1" applyAlignment="1">
      <alignment horizontal="center"/>
    </xf>
    <xf numFmtId="2" fontId="66" fillId="0" borderId="0" xfId="440" applyNumberFormat="1" applyFont="1"/>
    <xf numFmtId="2" fontId="66" fillId="0" borderId="0" xfId="439" applyNumberFormat="1" applyFont="1" applyAlignment="1">
      <alignment horizontal="center"/>
    </xf>
    <xf numFmtId="166" fontId="67" fillId="0" borderId="0" xfId="440" applyFont="1"/>
    <xf numFmtId="4" fontId="31" fillId="0" borderId="34" xfId="390" applyNumberFormat="1" applyFont="1" applyBorder="1" applyAlignment="1">
      <alignment horizontal="center"/>
    </xf>
    <xf numFmtId="166" fontId="66" fillId="0" borderId="0" xfId="432" applyFont="1" applyAlignment="1">
      <alignment horizontal="center" vertical="center"/>
    </xf>
    <xf numFmtId="0" fontId="13" fillId="0" borderId="34" xfId="4" applyFont="1" applyBorder="1" applyAlignment="1">
      <alignment horizontal="justify" vertical="justify"/>
    </xf>
    <xf numFmtId="2" fontId="13" fillId="0" borderId="34" xfId="4" applyNumberFormat="1" applyFont="1" applyBorder="1" applyAlignment="1">
      <alignment horizontal="center" vertical="center"/>
    </xf>
    <xf numFmtId="0" fontId="68" fillId="0" borderId="0" xfId="431" applyFont="1" applyAlignment="1">
      <alignment horizontal="center"/>
    </xf>
    <xf numFmtId="0" fontId="68" fillId="0" borderId="5" xfId="431" applyFont="1" applyBorder="1" applyAlignment="1">
      <alignment horizontal="center"/>
    </xf>
    <xf numFmtId="49" fontId="67" fillId="0" borderId="0" xfId="431" applyNumberFormat="1" applyFont="1" applyAlignment="1">
      <alignment horizontal="right"/>
    </xf>
    <xf numFmtId="0" fontId="14" fillId="0" borderId="0" xfId="7" applyFont="1" applyAlignment="1">
      <alignment horizontal="center"/>
    </xf>
    <xf numFmtId="0" fontId="14" fillId="0" borderId="5" xfId="7" applyFont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2" borderId="0" xfId="2" applyFont="1" applyFill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13" fillId="2" borderId="7" xfId="2" applyFont="1" applyFill="1" applyBorder="1" applyAlignment="1">
      <alignment horizontal="left" vertical="center"/>
    </xf>
    <xf numFmtId="0" fontId="12" fillId="2" borderId="0" xfId="307" applyFont="1" applyFill="1" applyAlignment="1">
      <alignment horizontal="left" vertical="center" wrapText="1"/>
    </xf>
    <xf numFmtId="0" fontId="12" fillId="2" borderId="5" xfId="307" applyFont="1" applyFill="1" applyBorder="1" applyAlignment="1">
      <alignment horizontal="left" vertical="center" wrapText="1"/>
    </xf>
    <xf numFmtId="0" fontId="13" fillId="0" borderId="0" xfId="430" applyFont="1" applyAlignment="1">
      <alignment horizontal="left" vertical="center" wrapText="1"/>
    </xf>
    <xf numFmtId="0" fontId="13" fillId="0" borderId="5" xfId="430" applyFont="1" applyBorder="1" applyAlignment="1">
      <alignment horizontal="left" vertical="center" wrapText="1"/>
    </xf>
    <xf numFmtId="0" fontId="85" fillId="0" borderId="0" xfId="307" applyFont="1" applyAlignment="1">
      <alignment horizontal="center" vertical="center"/>
    </xf>
    <xf numFmtId="0" fontId="29" fillId="0" borderId="19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49" fontId="79" fillId="0" borderId="54" xfId="4" applyNumberFormat="1" applyFont="1" applyBorder="1" applyAlignment="1">
      <alignment horizontal="left" vertical="distributed"/>
    </xf>
    <xf numFmtId="49" fontId="79" fillId="0" borderId="40" xfId="4" applyNumberFormat="1" applyFont="1" applyBorder="1" applyAlignment="1">
      <alignment horizontal="left" vertical="distributed"/>
    </xf>
    <xf numFmtId="0" fontId="64" fillId="0" borderId="19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20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20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20" xfId="0" applyFont="1" applyBorder="1" applyAlignment="1">
      <alignment horizontal="center" wrapText="1"/>
    </xf>
    <xf numFmtId="0" fontId="30" fillId="0" borderId="19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19" xfId="0" applyFont="1" applyBorder="1" applyAlignment="1">
      <alignment horizontal="center" wrapText="1"/>
    </xf>
    <xf numFmtId="0" fontId="30" fillId="0" borderId="12" xfId="0" applyFont="1" applyBorder="1" applyAlignment="1">
      <alignment horizontal="center" wrapText="1"/>
    </xf>
    <xf numFmtId="0" fontId="30" fillId="0" borderId="20" xfId="0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73" fillId="5" borderId="43" xfId="0" applyFont="1" applyFill="1" applyBorder="1" applyAlignment="1">
      <alignment horizontal="left" wrapText="1"/>
    </xf>
    <xf numFmtId="0" fontId="73" fillId="5" borderId="44" xfId="0" applyFont="1" applyFill="1" applyBorder="1" applyAlignment="1">
      <alignment horizontal="left" wrapText="1"/>
    </xf>
    <xf numFmtId="0" fontId="62" fillId="0" borderId="19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60" fillId="0" borderId="48" xfId="0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60" fillId="0" borderId="50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60" fillId="0" borderId="2" xfId="0" applyFont="1" applyBorder="1" applyAlignment="1">
      <alignment horizontal="center"/>
    </xf>
    <xf numFmtId="0" fontId="60" fillId="0" borderId="3" xfId="0" applyFont="1" applyBorder="1" applyAlignment="1">
      <alignment horizontal="center"/>
    </xf>
  </cellXfs>
  <cellStyles count="444">
    <cellStyle name="20% - Accent1" xfId="31" xr:uid="{00000000-0005-0000-0000-000000000000}"/>
    <cellStyle name="20% - Accent1 2" xfId="32" xr:uid="{00000000-0005-0000-0000-000001000000}"/>
    <cellStyle name="20% - Accent2" xfId="33" xr:uid="{00000000-0005-0000-0000-000002000000}"/>
    <cellStyle name="20% - Accent2 2" xfId="34" xr:uid="{00000000-0005-0000-0000-000003000000}"/>
    <cellStyle name="20% - Accent3" xfId="35" xr:uid="{00000000-0005-0000-0000-000004000000}"/>
    <cellStyle name="20% - Accent3 2" xfId="36" xr:uid="{00000000-0005-0000-0000-000005000000}"/>
    <cellStyle name="20% - Accent4" xfId="37" xr:uid="{00000000-0005-0000-0000-000006000000}"/>
    <cellStyle name="20% - Accent4 2" xfId="38" xr:uid="{00000000-0005-0000-0000-000007000000}"/>
    <cellStyle name="20% - Accent5" xfId="39" xr:uid="{00000000-0005-0000-0000-000008000000}"/>
    <cellStyle name="20% - Accent5 2" xfId="40" xr:uid="{00000000-0005-0000-0000-000009000000}"/>
    <cellStyle name="20% - Accent6" xfId="41" xr:uid="{00000000-0005-0000-0000-00000A000000}"/>
    <cellStyle name="20% - Accent6 2" xfId="42" xr:uid="{00000000-0005-0000-0000-00000B000000}"/>
    <cellStyle name="20% - Énfasis1 2" xfId="43" xr:uid="{00000000-0005-0000-0000-00000C000000}"/>
    <cellStyle name="20% - Énfasis1 2 2" xfId="44" xr:uid="{00000000-0005-0000-0000-00000D000000}"/>
    <cellStyle name="20% - Énfasis1 3" xfId="45" xr:uid="{00000000-0005-0000-0000-00000E000000}"/>
    <cellStyle name="20% - Énfasis1 3 2" xfId="46" xr:uid="{00000000-0005-0000-0000-00000F000000}"/>
    <cellStyle name="20% - Énfasis1 4" xfId="47" xr:uid="{00000000-0005-0000-0000-000010000000}"/>
    <cellStyle name="20% - Énfasis1 4 2" xfId="48" xr:uid="{00000000-0005-0000-0000-000011000000}"/>
    <cellStyle name="20% - Énfasis2 2" xfId="49" xr:uid="{00000000-0005-0000-0000-000012000000}"/>
    <cellStyle name="20% - Énfasis2 2 2" xfId="50" xr:uid="{00000000-0005-0000-0000-000013000000}"/>
    <cellStyle name="20% - Énfasis2 3" xfId="51" xr:uid="{00000000-0005-0000-0000-000014000000}"/>
    <cellStyle name="20% - Énfasis2 3 2" xfId="52" xr:uid="{00000000-0005-0000-0000-000015000000}"/>
    <cellStyle name="20% - Énfasis2 4" xfId="53" xr:uid="{00000000-0005-0000-0000-000016000000}"/>
    <cellStyle name="20% - Énfasis2 4 2" xfId="54" xr:uid="{00000000-0005-0000-0000-000017000000}"/>
    <cellStyle name="20% - Énfasis3 2" xfId="55" xr:uid="{00000000-0005-0000-0000-000018000000}"/>
    <cellStyle name="20% - Énfasis3 2 2" xfId="56" xr:uid="{00000000-0005-0000-0000-000019000000}"/>
    <cellStyle name="20% - Énfasis3 3" xfId="57" xr:uid="{00000000-0005-0000-0000-00001A000000}"/>
    <cellStyle name="20% - Énfasis3 3 2" xfId="58" xr:uid="{00000000-0005-0000-0000-00001B000000}"/>
    <cellStyle name="20% - Énfasis3 4" xfId="59" xr:uid="{00000000-0005-0000-0000-00001C000000}"/>
    <cellStyle name="20% - Énfasis3 4 2" xfId="60" xr:uid="{00000000-0005-0000-0000-00001D000000}"/>
    <cellStyle name="20% - Énfasis4 2" xfId="61" xr:uid="{00000000-0005-0000-0000-00001E000000}"/>
    <cellStyle name="20% - Énfasis4 2 2" xfId="62" xr:uid="{00000000-0005-0000-0000-00001F000000}"/>
    <cellStyle name="20% - Énfasis4 3" xfId="63" xr:uid="{00000000-0005-0000-0000-000020000000}"/>
    <cellStyle name="20% - Énfasis4 3 2" xfId="64" xr:uid="{00000000-0005-0000-0000-000021000000}"/>
    <cellStyle name="20% - Énfasis4 4" xfId="65" xr:uid="{00000000-0005-0000-0000-000022000000}"/>
    <cellStyle name="20% - Énfasis4 4 2" xfId="66" xr:uid="{00000000-0005-0000-0000-000023000000}"/>
    <cellStyle name="20% - Énfasis5 2" xfId="67" xr:uid="{00000000-0005-0000-0000-000024000000}"/>
    <cellStyle name="20% - Énfasis5 2 2" xfId="68" xr:uid="{00000000-0005-0000-0000-000025000000}"/>
    <cellStyle name="20% - Énfasis5 3" xfId="69" xr:uid="{00000000-0005-0000-0000-000026000000}"/>
    <cellStyle name="20% - Énfasis5 3 2" xfId="70" xr:uid="{00000000-0005-0000-0000-000027000000}"/>
    <cellStyle name="20% - Énfasis5 4" xfId="71" xr:uid="{00000000-0005-0000-0000-000028000000}"/>
    <cellStyle name="20% - Énfasis5 4 2" xfId="72" xr:uid="{00000000-0005-0000-0000-000029000000}"/>
    <cellStyle name="20% - Énfasis6 2" xfId="73" xr:uid="{00000000-0005-0000-0000-00002A000000}"/>
    <cellStyle name="20% - Énfasis6 2 2" xfId="74" xr:uid="{00000000-0005-0000-0000-00002B000000}"/>
    <cellStyle name="20% - Énfasis6 3" xfId="75" xr:uid="{00000000-0005-0000-0000-00002C000000}"/>
    <cellStyle name="20% - Énfasis6 3 2" xfId="76" xr:uid="{00000000-0005-0000-0000-00002D000000}"/>
    <cellStyle name="20% - Énfasis6 4" xfId="77" xr:uid="{00000000-0005-0000-0000-00002E000000}"/>
    <cellStyle name="20% - Énfasis6 4 2" xfId="78" xr:uid="{00000000-0005-0000-0000-00002F000000}"/>
    <cellStyle name="40% - Accent1" xfId="79" xr:uid="{00000000-0005-0000-0000-000030000000}"/>
    <cellStyle name="40% - Accent1 2" xfId="80" xr:uid="{00000000-0005-0000-0000-000031000000}"/>
    <cellStyle name="40% - Accent2" xfId="81" xr:uid="{00000000-0005-0000-0000-000032000000}"/>
    <cellStyle name="40% - Accent2 2" xfId="82" xr:uid="{00000000-0005-0000-0000-000033000000}"/>
    <cellStyle name="40% - Accent3" xfId="83" xr:uid="{00000000-0005-0000-0000-000034000000}"/>
    <cellStyle name="40% - Accent3 2" xfId="84" xr:uid="{00000000-0005-0000-0000-000035000000}"/>
    <cellStyle name="40% - Accent4" xfId="85" xr:uid="{00000000-0005-0000-0000-000036000000}"/>
    <cellStyle name="40% - Accent4 2" xfId="86" xr:uid="{00000000-0005-0000-0000-000037000000}"/>
    <cellStyle name="40% - Accent5" xfId="87" xr:uid="{00000000-0005-0000-0000-000038000000}"/>
    <cellStyle name="40% - Accent5 2" xfId="88" xr:uid="{00000000-0005-0000-0000-000039000000}"/>
    <cellStyle name="40% - Accent6" xfId="89" xr:uid="{00000000-0005-0000-0000-00003A000000}"/>
    <cellStyle name="40% - Accent6 2" xfId="90" xr:uid="{00000000-0005-0000-0000-00003B000000}"/>
    <cellStyle name="40% - Énfasis1 2" xfId="91" xr:uid="{00000000-0005-0000-0000-00003C000000}"/>
    <cellStyle name="40% - Énfasis1 2 2" xfId="92" xr:uid="{00000000-0005-0000-0000-00003D000000}"/>
    <cellStyle name="40% - Énfasis1 3" xfId="93" xr:uid="{00000000-0005-0000-0000-00003E000000}"/>
    <cellStyle name="40% - Énfasis1 3 2" xfId="94" xr:uid="{00000000-0005-0000-0000-00003F000000}"/>
    <cellStyle name="40% - Énfasis1 4" xfId="95" xr:uid="{00000000-0005-0000-0000-000040000000}"/>
    <cellStyle name="40% - Énfasis1 4 2" xfId="96" xr:uid="{00000000-0005-0000-0000-000041000000}"/>
    <cellStyle name="40% - Énfasis2 2" xfId="97" xr:uid="{00000000-0005-0000-0000-000042000000}"/>
    <cellStyle name="40% - Énfasis2 2 2" xfId="98" xr:uid="{00000000-0005-0000-0000-000043000000}"/>
    <cellStyle name="40% - Énfasis2 3" xfId="99" xr:uid="{00000000-0005-0000-0000-000044000000}"/>
    <cellStyle name="40% - Énfasis2 3 2" xfId="100" xr:uid="{00000000-0005-0000-0000-000045000000}"/>
    <cellStyle name="40% - Énfasis2 4" xfId="101" xr:uid="{00000000-0005-0000-0000-000046000000}"/>
    <cellStyle name="40% - Énfasis2 4 2" xfId="102" xr:uid="{00000000-0005-0000-0000-000047000000}"/>
    <cellStyle name="40% - Énfasis3 2" xfId="103" xr:uid="{00000000-0005-0000-0000-000048000000}"/>
    <cellStyle name="40% - Énfasis3 2 2" xfId="104" xr:uid="{00000000-0005-0000-0000-000049000000}"/>
    <cellStyle name="40% - Énfasis3 3" xfId="105" xr:uid="{00000000-0005-0000-0000-00004A000000}"/>
    <cellStyle name="40% - Énfasis3 3 2" xfId="106" xr:uid="{00000000-0005-0000-0000-00004B000000}"/>
    <cellStyle name="40% - Énfasis3 4" xfId="107" xr:uid="{00000000-0005-0000-0000-00004C000000}"/>
    <cellStyle name="40% - Énfasis3 4 2" xfId="108" xr:uid="{00000000-0005-0000-0000-00004D000000}"/>
    <cellStyle name="40% - Énfasis3 5" xfId="441" xr:uid="{00000000-0005-0000-0000-00004E000000}"/>
    <cellStyle name="40% - Énfasis4 2" xfId="109" xr:uid="{00000000-0005-0000-0000-00004F000000}"/>
    <cellStyle name="40% - Énfasis4 2 2" xfId="110" xr:uid="{00000000-0005-0000-0000-000050000000}"/>
    <cellStyle name="40% - Énfasis4 3" xfId="111" xr:uid="{00000000-0005-0000-0000-000051000000}"/>
    <cellStyle name="40% - Énfasis4 3 2" xfId="112" xr:uid="{00000000-0005-0000-0000-000052000000}"/>
    <cellStyle name="40% - Énfasis4 4" xfId="113" xr:uid="{00000000-0005-0000-0000-000053000000}"/>
    <cellStyle name="40% - Énfasis4 4 2" xfId="114" xr:uid="{00000000-0005-0000-0000-000054000000}"/>
    <cellStyle name="40% - Énfasis4 5" xfId="435" xr:uid="{00000000-0005-0000-0000-000055000000}"/>
    <cellStyle name="40% - Énfasis5 2" xfId="115" xr:uid="{00000000-0005-0000-0000-000056000000}"/>
    <cellStyle name="40% - Énfasis5 2 2" xfId="116" xr:uid="{00000000-0005-0000-0000-000057000000}"/>
    <cellStyle name="40% - Énfasis5 3" xfId="117" xr:uid="{00000000-0005-0000-0000-000058000000}"/>
    <cellStyle name="40% - Énfasis5 3 2" xfId="118" xr:uid="{00000000-0005-0000-0000-000059000000}"/>
    <cellStyle name="40% - Énfasis5 4" xfId="119" xr:uid="{00000000-0005-0000-0000-00005A000000}"/>
    <cellStyle name="40% - Énfasis5 4 2" xfId="120" xr:uid="{00000000-0005-0000-0000-00005B000000}"/>
    <cellStyle name="40% - Énfasis6 2" xfId="121" xr:uid="{00000000-0005-0000-0000-00005C000000}"/>
    <cellStyle name="40% - Énfasis6 2 2" xfId="122" xr:uid="{00000000-0005-0000-0000-00005D000000}"/>
    <cellStyle name="40% - Énfasis6 3" xfId="123" xr:uid="{00000000-0005-0000-0000-00005E000000}"/>
    <cellStyle name="40% - Énfasis6 3 2" xfId="124" xr:uid="{00000000-0005-0000-0000-00005F000000}"/>
    <cellStyle name="40% - Énfasis6 4" xfId="125" xr:uid="{00000000-0005-0000-0000-000060000000}"/>
    <cellStyle name="40% - Énfasis6 4 2" xfId="126" xr:uid="{00000000-0005-0000-0000-000061000000}"/>
    <cellStyle name="60% - Accent1" xfId="127" xr:uid="{00000000-0005-0000-0000-000062000000}"/>
    <cellStyle name="60% - Accent2" xfId="128" xr:uid="{00000000-0005-0000-0000-000063000000}"/>
    <cellStyle name="60% - Accent3" xfId="129" xr:uid="{00000000-0005-0000-0000-000064000000}"/>
    <cellStyle name="60% - Accent4" xfId="130" xr:uid="{00000000-0005-0000-0000-000065000000}"/>
    <cellStyle name="60% - Accent5" xfId="131" xr:uid="{00000000-0005-0000-0000-000066000000}"/>
    <cellStyle name="60% - Accent6" xfId="132" xr:uid="{00000000-0005-0000-0000-000067000000}"/>
    <cellStyle name="60% - Énfasis1 2" xfId="133" xr:uid="{00000000-0005-0000-0000-000068000000}"/>
    <cellStyle name="60% - Énfasis1 3" xfId="134" xr:uid="{00000000-0005-0000-0000-000069000000}"/>
    <cellStyle name="60% - Énfasis1 4" xfId="135" xr:uid="{00000000-0005-0000-0000-00006A000000}"/>
    <cellStyle name="60% - Énfasis2 2" xfId="136" xr:uid="{00000000-0005-0000-0000-00006B000000}"/>
    <cellStyle name="60% - Énfasis2 3" xfId="137" xr:uid="{00000000-0005-0000-0000-00006C000000}"/>
    <cellStyle name="60% - Énfasis2 4" xfId="138" xr:uid="{00000000-0005-0000-0000-00006D000000}"/>
    <cellStyle name="60% - Énfasis3 2" xfId="139" xr:uid="{00000000-0005-0000-0000-00006E000000}"/>
    <cellStyle name="60% - Énfasis3 3" xfId="140" xr:uid="{00000000-0005-0000-0000-00006F000000}"/>
    <cellStyle name="60% - Énfasis3 4" xfId="141" xr:uid="{00000000-0005-0000-0000-000070000000}"/>
    <cellStyle name="60% - Énfasis3 5" xfId="434" xr:uid="{00000000-0005-0000-0000-000071000000}"/>
    <cellStyle name="60% - Énfasis4 2" xfId="142" xr:uid="{00000000-0005-0000-0000-000072000000}"/>
    <cellStyle name="60% - Énfasis4 3" xfId="143" xr:uid="{00000000-0005-0000-0000-000073000000}"/>
    <cellStyle name="60% - Énfasis4 4" xfId="144" xr:uid="{00000000-0005-0000-0000-000074000000}"/>
    <cellStyle name="60% - Énfasis5 2" xfId="145" xr:uid="{00000000-0005-0000-0000-000075000000}"/>
    <cellStyle name="60% - Énfasis5 3" xfId="146" xr:uid="{00000000-0005-0000-0000-000076000000}"/>
    <cellStyle name="60% - Énfasis5 4" xfId="147" xr:uid="{00000000-0005-0000-0000-000077000000}"/>
    <cellStyle name="60% - Énfasis6 2" xfId="148" xr:uid="{00000000-0005-0000-0000-000078000000}"/>
    <cellStyle name="60% - Énfasis6 3" xfId="149" xr:uid="{00000000-0005-0000-0000-000079000000}"/>
    <cellStyle name="60% - Énfasis6 4" xfId="150" xr:uid="{00000000-0005-0000-0000-00007A000000}"/>
    <cellStyle name="Accent1" xfId="151" xr:uid="{00000000-0005-0000-0000-00007B000000}"/>
    <cellStyle name="Accent2" xfId="152" xr:uid="{00000000-0005-0000-0000-00007C000000}"/>
    <cellStyle name="Accent3" xfId="153" xr:uid="{00000000-0005-0000-0000-00007D000000}"/>
    <cellStyle name="Accent4" xfId="154" xr:uid="{00000000-0005-0000-0000-00007E000000}"/>
    <cellStyle name="Accent5" xfId="155" xr:uid="{00000000-0005-0000-0000-00007F000000}"/>
    <cellStyle name="Accent6" xfId="156" xr:uid="{00000000-0005-0000-0000-000080000000}"/>
    <cellStyle name="Bad" xfId="157" xr:uid="{00000000-0005-0000-0000-000081000000}"/>
    <cellStyle name="Buena 2" xfId="158" xr:uid="{00000000-0005-0000-0000-000082000000}"/>
    <cellStyle name="Buena 3" xfId="159" xr:uid="{00000000-0005-0000-0000-000083000000}"/>
    <cellStyle name="Buena 4" xfId="160" xr:uid="{00000000-0005-0000-0000-000084000000}"/>
    <cellStyle name="Calculation" xfId="161" xr:uid="{00000000-0005-0000-0000-000085000000}"/>
    <cellStyle name="Calculation 2" xfId="411" xr:uid="{00000000-0005-0000-0000-000086000000}"/>
    <cellStyle name="Cálculo 2" xfId="162" xr:uid="{00000000-0005-0000-0000-000087000000}"/>
    <cellStyle name="Cálculo 2 2" xfId="412" xr:uid="{00000000-0005-0000-0000-000088000000}"/>
    <cellStyle name="Cálculo 3" xfId="163" xr:uid="{00000000-0005-0000-0000-000089000000}"/>
    <cellStyle name="Cálculo 3 2" xfId="413" xr:uid="{00000000-0005-0000-0000-00008A000000}"/>
    <cellStyle name="Cálculo 4" xfId="164" xr:uid="{00000000-0005-0000-0000-00008B000000}"/>
    <cellStyle name="Cálculo 4 2" xfId="414" xr:uid="{00000000-0005-0000-0000-00008C000000}"/>
    <cellStyle name="Celda de comprobación 2" xfId="165" xr:uid="{00000000-0005-0000-0000-00008D000000}"/>
    <cellStyle name="Celda de comprobación 3" xfId="166" xr:uid="{00000000-0005-0000-0000-00008E000000}"/>
    <cellStyle name="Celda de comprobación 4" xfId="167" xr:uid="{00000000-0005-0000-0000-00008F000000}"/>
    <cellStyle name="Celda vinculada 2" xfId="168" xr:uid="{00000000-0005-0000-0000-000090000000}"/>
    <cellStyle name="Celda vinculada 3" xfId="169" xr:uid="{00000000-0005-0000-0000-000091000000}"/>
    <cellStyle name="Celda vinculada 4" xfId="170" xr:uid="{00000000-0005-0000-0000-000092000000}"/>
    <cellStyle name="Check Cell" xfId="171" xr:uid="{00000000-0005-0000-0000-000093000000}"/>
    <cellStyle name="Comma 16 2 2" xfId="404" xr:uid="{00000000-0005-0000-0000-000094000000}"/>
    <cellStyle name="Comma 2" xfId="26" xr:uid="{00000000-0005-0000-0000-000095000000}"/>
    <cellStyle name="Comma 2 2" xfId="172" xr:uid="{00000000-0005-0000-0000-000096000000}"/>
    <cellStyle name="Comma 2 4" xfId="10" xr:uid="{00000000-0005-0000-0000-000097000000}"/>
    <cellStyle name="Comma_ACTUALIZACION PRESUPUESTOS GRAL JULIO 2003" xfId="405" xr:uid="{00000000-0005-0000-0000-000098000000}"/>
    <cellStyle name="Currency_Presupuesto Base (Alfa 2000, S.A.) - Análisis de Costos" xfId="392" xr:uid="{00000000-0005-0000-0000-000099000000}"/>
    <cellStyle name="Emphasis 1" xfId="173" xr:uid="{00000000-0005-0000-0000-00009A000000}"/>
    <cellStyle name="Emphasis 2" xfId="174" xr:uid="{00000000-0005-0000-0000-00009B000000}"/>
    <cellStyle name="Emphasis 3" xfId="175" xr:uid="{00000000-0005-0000-0000-00009C000000}"/>
    <cellStyle name="Encabezado 4 2" xfId="176" xr:uid="{00000000-0005-0000-0000-00009D000000}"/>
    <cellStyle name="Encabezado 4 3" xfId="177" xr:uid="{00000000-0005-0000-0000-00009E000000}"/>
    <cellStyle name="Encabezado 4 4" xfId="178" xr:uid="{00000000-0005-0000-0000-00009F000000}"/>
    <cellStyle name="Énfasis1 2" xfId="179" xr:uid="{00000000-0005-0000-0000-0000A0000000}"/>
    <cellStyle name="Énfasis1 3" xfId="180" xr:uid="{00000000-0005-0000-0000-0000A1000000}"/>
    <cellStyle name="Énfasis1 4" xfId="181" xr:uid="{00000000-0005-0000-0000-0000A2000000}"/>
    <cellStyle name="Énfasis2 2" xfId="182" xr:uid="{00000000-0005-0000-0000-0000A3000000}"/>
    <cellStyle name="Énfasis2 3" xfId="183" xr:uid="{00000000-0005-0000-0000-0000A4000000}"/>
    <cellStyle name="Énfasis2 4" xfId="184" xr:uid="{00000000-0005-0000-0000-0000A5000000}"/>
    <cellStyle name="Énfasis3 2" xfId="185" xr:uid="{00000000-0005-0000-0000-0000A6000000}"/>
    <cellStyle name="Énfasis3 3" xfId="186" xr:uid="{00000000-0005-0000-0000-0000A7000000}"/>
    <cellStyle name="Énfasis3 4" xfId="187" xr:uid="{00000000-0005-0000-0000-0000A8000000}"/>
    <cellStyle name="Énfasis4 2" xfId="188" xr:uid="{00000000-0005-0000-0000-0000A9000000}"/>
    <cellStyle name="Énfasis4 3" xfId="189" xr:uid="{00000000-0005-0000-0000-0000AA000000}"/>
    <cellStyle name="Énfasis4 4" xfId="190" xr:uid="{00000000-0005-0000-0000-0000AB000000}"/>
    <cellStyle name="Énfasis5 2" xfId="191" xr:uid="{00000000-0005-0000-0000-0000AC000000}"/>
    <cellStyle name="Énfasis5 3" xfId="192" xr:uid="{00000000-0005-0000-0000-0000AD000000}"/>
    <cellStyle name="Énfasis5 4" xfId="193" xr:uid="{00000000-0005-0000-0000-0000AE000000}"/>
    <cellStyle name="Énfasis6 2" xfId="194" xr:uid="{00000000-0005-0000-0000-0000AF000000}"/>
    <cellStyle name="Énfasis6 3" xfId="195" xr:uid="{00000000-0005-0000-0000-0000B0000000}"/>
    <cellStyle name="Énfasis6 4" xfId="196" xr:uid="{00000000-0005-0000-0000-0000B1000000}"/>
    <cellStyle name="Entrada 2" xfId="197" xr:uid="{00000000-0005-0000-0000-0000B2000000}"/>
    <cellStyle name="Entrada 2 2" xfId="415" xr:uid="{00000000-0005-0000-0000-0000B3000000}"/>
    <cellStyle name="Entrada 3" xfId="198" xr:uid="{00000000-0005-0000-0000-0000B4000000}"/>
    <cellStyle name="Entrada 3 2" xfId="416" xr:uid="{00000000-0005-0000-0000-0000B5000000}"/>
    <cellStyle name="Entrada 4" xfId="199" xr:uid="{00000000-0005-0000-0000-0000B6000000}"/>
    <cellStyle name="Entrada 4 2" xfId="417" xr:uid="{00000000-0005-0000-0000-0000B7000000}"/>
    <cellStyle name="Euro" xfId="200" xr:uid="{00000000-0005-0000-0000-0000B8000000}"/>
    <cellStyle name="Euro 2" xfId="201" xr:uid="{00000000-0005-0000-0000-0000B9000000}"/>
    <cellStyle name="Explanatory Text" xfId="202" xr:uid="{00000000-0005-0000-0000-0000BA000000}"/>
    <cellStyle name="Good" xfId="203" xr:uid="{00000000-0005-0000-0000-0000BB000000}"/>
    <cellStyle name="Heading 1" xfId="204" xr:uid="{00000000-0005-0000-0000-0000BC000000}"/>
    <cellStyle name="Heading 2" xfId="205" xr:uid="{00000000-0005-0000-0000-0000BD000000}"/>
    <cellStyle name="Heading 3" xfId="206" xr:uid="{00000000-0005-0000-0000-0000BE000000}"/>
    <cellStyle name="Heading 4" xfId="207" xr:uid="{00000000-0005-0000-0000-0000BF000000}"/>
    <cellStyle name="Hipervínculo visitado 2" xfId="208" xr:uid="{00000000-0005-0000-0000-0000C0000000}"/>
    <cellStyle name="Incorrecto 2" xfId="209" xr:uid="{00000000-0005-0000-0000-0000C1000000}"/>
    <cellStyle name="Incorrecto 3" xfId="210" xr:uid="{00000000-0005-0000-0000-0000C2000000}"/>
    <cellStyle name="Incorrecto 4" xfId="211" xr:uid="{00000000-0005-0000-0000-0000C3000000}"/>
    <cellStyle name="Input" xfId="212" xr:uid="{00000000-0005-0000-0000-0000C4000000}"/>
    <cellStyle name="Input 2" xfId="418" xr:uid="{00000000-0005-0000-0000-0000C5000000}"/>
    <cellStyle name="Linked Cell" xfId="213" xr:uid="{00000000-0005-0000-0000-0000C6000000}"/>
    <cellStyle name="Millares" xfId="1" builtinId="3"/>
    <cellStyle name="Millares 10" xfId="214" xr:uid="{00000000-0005-0000-0000-0000C8000000}"/>
    <cellStyle name="Millares 11" xfId="215" xr:uid="{00000000-0005-0000-0000-0000C9000000}"/>
    <cellStyle name="Millares 12" xfId="403" xr:uid="{00000000-0005-0000-0000-0000CA000000}"/>
    <cellStyle name="Millares 12 3" xfId="216" xr:uid="{00000000-0005-0000-0000-0000CB000000}"/>
    <cellStyle name="Millares 12 8" xfId="18" xr:uid="{00000000-0005-0000-0000-0000CC000000}"/>
    <cellStyle name="Millares 13" xfId="432" xr:uid="{00000000-0005-0000-0000-0000CD000000}"/>
    <cellStyle name="Millares 14" xfId="440" xr:uid="{00000000-0005-0000-0000-0000CE000000}"/>
    <cellStyle name="Millares 2" xfId="21" xr:uid="{00000000-0005-0000-0000-0000CF000000}"/>
    <cellStyle name="Millares 2 2" xfId="217" xr:uid="{00000000-0005-0000-0000-0000D0000000}"/>
    <cellStyle name="Millares 2 2 2" xfId="395" xr:uid="{00000000-0005-0000-0000-0000D1000000}"/>
    <cellStyle name="Millares 2 2 2 2 2 2" xfId="443" xr:uid="{00000000-0005-0000-0000-0000D2000000}"/>
    <cellStyle name="Millares 2 3" xfId="218" xr:uid="{00000000-0005-0000-0000-0000D3000000}"/>
    <cellStyle name="Millares 2 3 11" xfId="17" xr:uid="{00000000-0005-0000-0000-0000D4000000}"/>
    <cellStyle name="Millares 2 4" xfId="219" xr:uid="{00000000-0005-0000-0000-0000D5000000}"/>
    <cellStyle name="Millares 2 4 2" xfId="220" xr:uid="{00000000-0005-0000-0000-0000D6000000}"/>
    <cellStyle name="Millares 2 5" xfId="221" xr:uid="{00000000-0005-0000-0000-0000D7000000}"/>
    <cellStyle name="Millares 2 6" xfId="406" xr:uid="{00000000-0005-0000-0000-0000D8000000}"/>
    <cellStyle name="Millares 2 7" xfId="442" xr:uid="{00000000-0005-0000-0000-0000D9000000}"/>
    <cellStyle name="Millares 3" xfId="222" xr:uid="{00000000-0005-0000-0000-0000DA000000}"/>
    <cellStyle name="Millares 3 2" xfId="223" xr:uid="{00000000-0005-0000-0000-0000DB000000}"/>
    <cellStyle name="Millares 3 2 2" xfId="224" xr:uid="{00000000-0005-0000-0000-0000DC000000}"/>
    <cellStyle name="Millares 3 2 5" xfId="225" xr:uid="{00000000-0005-0000-0000-0000DD000000}"/>
    <cellStyle name="Millares 3 3" xfId="226" xr:uid="{00000000-0005-0000-0000-0000DE000000}"/>
    <cellStyle name="Millares 3 4" xfId="436" xr:uid="{00000000-0005-0000-0000-0000DF000000}"/>
    <cellStyle name="Millares 4" xfId="227" xr:uid="{00000000-0005-0000-0000-0000E0000000}"/>
    <cellStyle name="Millares 4 2" xfId="228" xr:uid="{00000000-0005-0000-0000-0000E1000000}"/>
    <cellStyle name="Millares 4 2 2" xfId="229" xr:uid="{00000000-0005-0000-0000-0000E2000000}"/>
    <cellStyle name="Millares 4 3" xfId="408" xr:uid="{00000000-0005-0000-0000-0000E3000000}"/>
    <cellStyle name="Millares 5" xfId="230" xr:uid="{00000000-0005-0000-0000-0000E4000000}"/>
    <cellStyle name="Millares 5 2" xfId="231" xr:uid="{00000000-0005-0000-0000-0000E5000000}"/>
    <cellStyle name="Millares 5 2 2" xfId="391" xr:uid="{00000000-0005-0000-0000-0000E6000000}"/>
    <cellStyle name="Millares 5 3" xfId="232" xr:uid="{00000000-0005-0000-0000-0000E7000000}"/>
    <cellStyle name="Millares 6" xfId="233" xr:uid="{00000000-0005-0000-0000-0000E8000000}"/>
    <cellStyle name="Millares 6 2" xfId="234" xr:uid="{00000000-0005-0000-0000-0000E9000000}"/>
    <cellStyle name="Millares 6 3" xfId="397" xr:uid="{00000000-0005-0000-0000-0000EA000000}"/>
    <cellStyle name="Millares 7" xfId="235" xr:uid="{00000000-0005-0000-0000-0000EB000000}"/>
    <cellStyle name="Millares 7 2" xfId="236" xr:uid="{00000000-0005-0000-0000-0000EC000000}"/>
    <cellStyle name="Millares 8" xfId="237" xr:uid="{00000000-0005-0000-0000-0000ED000000}"/>
    <cellStyle name="Millares 8 2" xfId="238" xr:uid="{00000000-0005-0000-0000-0000EE000000}"/>
    <cellStyle name="Millares 9" xfId="239" xr:uid="{00000000-0005-0000-0000-0000EF000000}"/>
    <cellStyle name="Moneda [0] 2" xfId="240" xr:uid="{00000000-0005-0000-0000-0000F0000000}"/>
    <cellStyle name="Moneda 10" xfId="394" xr:uid="{00000000-0005-0000-0000-0000F1000000}"/>
    <cellStyle name="Moneda 11" xfId="410" xr:uid="{00000000-0005-0000-0000-0000F2000000}"/>
    <cellStyle name="Moneda 17" xfId="30" xr:uid="{00000000-0005-0000-0000-0000F3000000}"/>
    <cellStyle name="Moneda 18" xfId="28" xr:uid="{00000000-0005-0000-0000-0000F4000000}"/>
    <cellStyle name="Moneda 19" xfId="29" xr:uid="{00000000-0005-0000-0000-0000F5000000}"/>
    <cellStyle name="Moneda 2" xfId="3" xr:uid="{00000000-0005-0000-0000-0000F6000000}"/>
    <cellStyle name="Moneda 2 2" xfId="242" xr:uid="{00000000-0005-0000-0000-0000F7000000}"/>
    <cellStyle name="Moneda 2 2 2" xfId="407" xr:uid="{00000000-0005-0000-0000-0000F8000000}"/>
    <cellStyle name="Moneda 2 2 5" xfId="243" xr:uid="{00000000-0005-0000-0000-0000F9000000}"/>
    <cellStyle name="Moneda 2 3" xfId="244" xr:uid="{00000000-0005-0000-0000-0000FA000000}"/>
    <cellStyle name="Moneda 2 4" xfId="245" xr:uid="{00000000-0005-0000-0000-0000FB000000}"/>
    <cellStyle name="Moneda 2 5" xfId="246" xr:uid="{00000000-0005-0000-0000-0000FC000000}"/>
    <cellStyle name="Moneda 2 6" xfId="241" xr:uid="{00000000-0005-0000-0000-0000FD000000}"/>
    <cellStyle name="Moneda 20" xfId="247" xr:uid="{00000000-0005-0000-0000-0000FE000000}"/>
    <cellStyle name="Moneda 3" xfId="248" xr:uid="{00000000-0005-0000-0000-0000FF000000}"/>
    <cellStyle name="Moneda 4" xfId="249" xr:uid="{00000000-0005-0000-0000-000000010000}"/>
    <cellStyle name="Moneda 5" xfId="398" xr:uid="{00000000-0005-0000-0000-000001010000}"/>
    <cellStyle name="Moneda 6" xfId="393" xr:uid="{00000000-0005-0000-0000-000002010000}"/>
    <cellStyle name="Moneda 7" xfId="400" xr:uid="{00000000-0005-0000-0000-000003010000}"/>
    <cellStyle name="Moneda 8" xfId="396" xr:uid="{00000000-0005-0000-0000-000004010000}"/>
    <cellStyle name="Moneda 9" xfId="402" xr:uid="{00000000-0005-0000-0000-000005010000}"/>
    <cellStyle name="Neutral 2" xfId="250" xr:uid="{00000000-0005-0000-0000-000006010000}"/>
    <cellStyle name="Neutral 3" xfId="251" xr:uid="{00000000-0005-0000-0000-000007010000}"/>
    <cellStyle name="Neutral 4" xfId="252" xr:uid="{00000000-0005-0000-0000-000008010000}"/>
    <cellStyle name="No-definido" xfId="253" xr:uid="{00000000-0005-0000-0000-000009010000}"/>
    <cellStyle name="Normal" xfId="0" builtinId="0"/>
    <cellStyle name="Normal - Style1" xfId="254" xr:uid="{00000000-0005-0000-0000-00000B010000}"/>
    <cellStyle name="Normal 10" xfId="2" xr:uid="{00000000-0005-0000-0000-00000C010000}"/>
    <cellStyle name="Normal 10 2" xfId="256" xr:uid="{00000000-0005-0000-0000-00000D010000}"/>
    <cellStyle name="Normal 10 2 2 3" xfId="22" xr:uid="{00000000-0005-0000-0000-00000E010000}"/>
    <cellStyle name="Normal 10 3" xfId="255" xr:uid="{00000000-0005-0000-0000-00000F010000}"/>
    <cellStyle name="Normal 10 3 2 2 2" xfId="12" xr:uid="{00000000-0005-0000-0000-000010010000}"/>
    <cellStyle name="Normal 11" xfId="257" xr:uid="{00000000-0005-0000-0000-000011010000}"/>
    <cellStyle name="Normal 11 2" xfId="258" xr:uid="{00000000-0005-0000-0000-000012010000}"/>
    <cellStyle name="Normal 12" xfId="259" xr:uid="{00000000-0005-0000-0000-000013010000}"/>
    <cellStyle name="Normal 12 2" xfId="260" xr:uid="{00000000-0005-0000-0000-000014010000}"/>
    <cellStyle name="Normal 127 2 2" xfId="24" xr:uid="{00000000-0005-0000-0000-000015010000}"/>
    <cellStyle name="Normal 13" xfId="261" xr:uid="{00000000-0005-0000-0000-000016010000}"/>
    <cellStyle name="Normal 13 2" xfId="262" xr:uid="{00000000-0005-0000-0000-000017010000}"/>
    <cellStyle name="Normal 133 2" xfId="23" xr:uid="{00000000-0005-0000-0000-000018010000}"/>
    <cellStyle name="Normal 134 2 2" xfId="16" xr:uid="{00000000-0005-0000-0000-000019010000}"/>
    <cellStyle name="Normal 139" xfId="15" xr:uid="{00000000-0005-0000-0000-00001A010000}"/>
    <cellStyle name="Normal 14" xfId="263" xr:uid="{00000000-0005-0000-0000-00001B010000}"/>
    <cellStyle name="Normal 14 2" xfId="264" xr:uid="{00000000-0005-0000-0000-00001C010000}"/>
    <cellStyle name="Normal 15" xfId="265" xr:uid="{00000000-0005-0000-0000-00001D010000}"/>
    <cellStyle name="Normal 15 2" xfId="266" xr:uid="{00000000-0005-0000-0000-00001E010000}"/>
    <cellStyle name="Normal 16" xfId="267" xr:uid="{00000000-0005-0000-0000-00001F010000}"/>
    <cellStyle name="Normal 16 2" xfId="268" xr:uid="{00000000-0005-0000-0000-000020010000}"/>
    <cellStyle name="Normal 17" xfId="269" xr:uid="{00000000-0005-0000-0000-000021010000}"/>
    <cellStyle name="Normal 17 2" xfId="270" xr:uid="{00000000-0005-0000-0000-000022010000}"/>
    <cellStyle name="Normal 18" xfId="271" xr:uid="{00000000-0005-0000-0000-000023010000}"/>
    <cellStyle name="Normal 18 2" xfId="272" xr:uid="{00000000-0005-0000-0000-000024010000}"/>
    <cellStyle name="Normal 19" xfId="273" xr:uid="{00000000-0005-0000-0000-000025010000}"/>
    <cellStyle name="Normal 2" xfId="4" xr:uid="{00000000-0005-0000-0000-000026010000}"/>
    <cellStyle name="Normal 2 10" xfId="274" xr:uid="{00000000-0005-0000-0000-000027010000}"/>
    <cellStyle name="Normal 2 10 2 2" xfId="14" xr:uid="{00000000-0005-0000-0000-000028010000}"/>
    <cellStyle name="Normal 2 2" xfId="275" xr:uid="{00000000-0005-0000-0000-000029010000}"/>
    <cellStyle name="Normal 2 2 2" xfId="8" xr:uid="{00000000-0005-0000-0000-00002A010000}"/>
    <cellStyle name="Normal 2 2 2 2" xfId="390" xr:uid="{00000000-0005-0000-0000-00002B010000}"/>
    <cellStyle name="Normal 2 2 2 2 2" xfId="437" xr:uid="{00000000-0005-0000-0000-00002C010000}"/>
    <cellStyle name="Normal 2 2 2 2 3 3" xfId="438" xr:uid="{00000000-0005-0000-0000-00002D010000}"/>
    <cellStyle name="Normal 2 3" xfId="276" xr:uid="{00000000-0005-0000-0000-00002E010000}"/>
    <cellStyle name="Normal 2 3 2" xfId="6" xr:uid="{00000000-0005-0000-0000-00002F010000}"/>
    <cellStyle name="Normal 2 3 3" xfId="399" xr:uid="{00000000-0005-0000-0000-000030010000}"/>
    <cellStyle name="Normal 2 4" xfId="277" xr:uid="{00000000-0005-0000-0000-000031010000}"/>
    <cellStyle name="Normal 2 5" xfId="278" xr:uid="{00000000-0005-0000-0000-000032010000}"/>
    <cellStyle name="Normal 2 5 2" xfId="279" xr:uid="{00000000-0005-0000-0000-000033010000}"/>
    <cellStyle name="Normal 2 6" xfId="280" xr:uid="{00000000-0005-0000-0000-000034010000}"/>
    <cellStyle name="Normal 2 7" xfId="281" xr:uid="{00000000-0005-0000-0000-000035010000}"/>
    <cellStyle name="Normal 2_Analisis y presupuesto de adicionales CAP GUERRA" xfId="282" xr:uid="{00000000-0005-0000-0000-000036010000}"/>
    <cellStyle name="Normal 20" xfId="283" xr:uid="{00000000-0005-0000-0000-000037010000}"/>
    <cellStyle name="Normal 20 2" xfId="284" xr:uid="{00000000-0005-0000-0000-000038010000}"/>
    <cellStyle name="Normal 21" xfId="285" xr:uid="{00000000-0005-0000-0000-000039010000}"/>
    <cellStyle name="Normal 22" xfId="286" xr:uid="{00000000-0005-0000-0000-00003A010000}"/>
    <cellStyle name="Normal 23" xfId="287" xr:uid="{00000000-0005-0000-0000-00003B010000}"/>
    <cellStyle name="Normal 24" xfId="431" xr:uid="{00000000-0005-0000-0000-00003C010000}"/>
    <cellStyle name="Normal 25" xfId="439" xr:uid="{00000000-0005-0000-0000-00003D010000}"/>
    <cellStyle name="Normal 29 2" xfId="19" xr:uid="{00000000-0005-0000-0000-00003E010000}"/>
    <cellStyle name="Normal 3" xfId="11" xr:uid="{00000000-0005-0000-0000-00003F010000}"/>
    <cellStyle name="Normal 3 2" xfId="289" xr:uid="{00000000-0005-0000-0000-000040010000}"/>
    <cellStyle name="Normal 3 3" xfId="7" xr:uid="{00000000-0005-0000-0000-000041010000}"/>
    <cellStyle name="Normal 3 4" xfId="290" xr:uid="{00000000-0005-0000-0000-000042010000}"/>
    <cellStyle name="Normal 3 5" xfId="288" xr:uid="{00000000-0005-0000-0000-000043010000}"/>
    <cellStyle name="Normal 32" xfId="9" xr:uid="{00000000-0005-0000-0000-000044010000}"/>
    <cellStyle name="Normal 4" xfId="291" xr:uid="{00000000-0005-0000-0000-000045010000}"/>
    <cellStyle name="Normal 4 10" xfId="292" xr:uid="{00000000-0005-0000-0000-000046010000}"/>
    <cellStyle name="Normal 4 11" xfId="293" xr:uid="{00000000-0005-0000-0000-000047010000}"/>
    <cellStyle name="Normal 4 12" xfId="294" xr:uid="{00000000-0005-0000-0000-000048010000}"/>
    <cellStyle name="Normal 4 13" xfId="295" xr:uid="{00000000-0005-0000-0000-000049010000}"/>
    <cellStyle name="Normal 4 14" xfId="296" xr:uid="{00000000-0005-0000-0000-00004A010000}"/>
    <cellStyle name="Normal 4 15" xfId="297" xr:uid="{00000000-0005-0000-0000-00004B010000}"/>
    <cellStyle name="Normal 4 19" xfId="13" xr:uid="{00000000-0005-0000-0000-00004C010000}"/>
    <cellStyle name="Normal 4 2" xfId="298" xr:uid="{00000000-0005-0000-0000-00004D010000}"/>
    <cellStyle name="Normal 4 3" xfId="299" xr:uid="{00000000-0005-0000-0000-00004E010000}"/>
    <cellStyle name="Normal 4 4" xfId="300" xr:uid="{00000000-0005-0000-0000-00004F010000}"/>
    <cellStyle name="Normal 4 5" xfId="301" xr:uid="{00000000-0005-0000-0000-000050010000}"/>
    <cellStyle name="Normal 4 6" xfId="302" xr:uid="{00000000-0005-0000-0000-000051010000}"/>
    <cellStyle name="Normal 4 7" xfId="303" xr:uid="{00000000-0005-0000-0000-000052010000}"/>
    <cellStyle name="Normal 4 8" xfId="304" xr:uid="{00000000-0005-0000-0000-000053010000}"/>
    <cellStyle name="Normal 4 9" xfId="305" xr:uid="{00000000-0005-0000-0000-000054010000}"/>
    <cellStyle name="Normal 4_Rehabilitacion Muelle #05" xfId="306" xr:uid="{00000000-0005-0000-0000-000055010000}"/>
    <cellStyle name="Normal 5" xfId="307" xr:uid="{00000000-0005-0000-0000-000056010000}"/>
    <cellStyle name="Normal 5 10" xfId="308" xr:uid="{00000000-0005-0000-0000-000057010000}"/>
    <cellStyle name="Normal 5 11" xfId="309" xr:uid="{00000000-0005-0000-0000-000058010000}"/>
    <cellStyle name="Normal 5 12" xfId="310" xr:uid="{00000000-0005-0000-0000-000059010000}"/>
    <cellStyle name="Normal 5 13" xfId="311" xr:uid="{00000000-0005-0000-0000-00005A010000}"/>
    <cellStyle name="Normal 5 14" xfId="312" xr:uid="{00000000-0005-0000-0000-00005B010000}"/>
    <cellStyle name="Normal 5 15" xfId="430" xr:uid="{00000000-0005-0000-0000-00005C010000}"/>
    <cellStyle name="Normal 5 2" xfId="313" xr:uid="{00000000-0005-0000-0000-00005D010000}"/>
    <cellStyle name="Normal 5 3" xfId="314" xr:uid="{00000000-0005-0000-0000-00005E010000}"/>
    <cellStyle name="Normal 5 4" xfId="315" xr:uid="{00000000-0005-0000-0000-00005F010000}"/>
    <cellStyle name="Normal 5 5" xfId="316" xr:uid="{00000000-0005-0000-0000-000060010000}"/>
    <cellStyle name="Normal 5 6" xfId="317" xr:uid="{00000000-0005-0000-0000-000061010000}"/>
    <cellStyle name="Normal 5 7" xfId="318" xr:uid="{00000000-0005-0000-0000-000062010000}"/>
    <cellStyle name="Normal 5 8" xfId="319" xr:uid="{00000000-0005-0000-0000-000063010000}"/>
    <cellStyle name="Normal 5 9" xfId="320" xr:uid="{00000000-0005-0000-0000-000064010000}"/>
    <cellStyle name="Normal 5_Rehabilitacion Muelle #05" xfId="321" xr:uid="{00000000-0005-0000-0000-000065010000}"/>
    <cellStyle name="Normal 51" xfId="20" xr:uid="{00000000-0005-0000-0000-000066010000}"/>
    <cellStyle name="Normal 6" xfId="322" xr:uid="{00000000-0005-0000-0000-000067010000}"/>
    <cellStyle name="Normal 6 2" xfId="323" xr:uid="{00000000-0005-0000-0000-000068010000}"/>
    <cellStyle name="Normal 6 2 2" xfId="324" xr:uid="{00000000-0005-0000-0000-000069010000}"/>
    <cellStyle name="Normal 7" xfId="325" xr:uid="{00000000-0005-0000-0000-00006A010000}"/>
    <cellStyle name="Normal 7 2" xfId="326" xr:uid="{00000000-0005-0000-0000-00006B010000}"/>
    <cellStyle name="Normal 8" xfId="327" xr:uid="{00000000-0005-0000-0000-00006C010000}"/>
    <cellStyle name="Normal 8 2" xfId="328" xr:uid="{00000000-0005-0000-0000-00006D010000}"/>
    <cellStyle name="Normal 9" xfId="329" xr:uid="{00000000-0005-0000-0000-00006E010000}"/>
    <cellStyle name="Normal 9 2" xfId="330" xr:uid="{00000000-0005-0000-0000-00006F010000}"/>
    <cellStyle name="Normal_Hoja1" xfId="27" xr:uid="{00000000-0005-0000-0000-000070010000}"/>
    <cellStyle name="Normal_Hoja1 2" xfId="331" xr:uid="{00000000-0005-0000-0000-000071010000}"/>
    <cellStyle name="Notas 2" xfId="332" xr:uid="{00000000-0005-0000-0000-000072010000}"/>
    <cellStyle name="Notas 2 2" xfId="419" xr:uid="{00000000-0005-0000-0000-000073010000}"/>
    <cellStyle name="Notas 3" xfId="333" xr:uid="{00000000-0005-0000-0000-000074010000}"/>
    <cellStyle name="Notas 3 2" xfId="420" xr:uid="{00000000-0005-0000-0000-000075010000}"/>
    <cellStyle name="Notas 4" xfId="334" xr:uid="{00000000-0005-0000-0000-000076010000}"/>
    <cellStyle name="Notas 4 2" xfId="421" xr:uid="{00000000-0005-0000-0000-000077010000}"/>
    <cellStyle name="Note" xfId="335" xr:uid="{00000000-0005-0000-0000-000078010000}"/>
    <cellStyle name="Note 2" xfId="422" xr:uid="{00000000-0005-0000-0000-000079010000}"/>
    <cellStyle name="Output" xfId="336" xr:uid="{00000000-0005-0000-0000-00007A010000}"/>
    <cellStyle name="Output 2" xfId="423" xr:uid="{00000000-0005-0000-0000-00007B010000}"/>
    <cellStyle name="Percent 2" xfId="337" xr:uid="{00000000-0005-0000-0000-00007C010000}"/>
    <cellStyle name="Porcentaje" xfId="5" builtinId="5"/>
    <cellStyle name="Porcentaje 2" xfId="338" xr:uid="{00000000-0005-0000-0000-00007D010000}"/>
    <cellStyle name="Porcentaje 2 2" xfId="339" xr:uid="{00000000-0005-0000-0000-00007E010000}"/>
    <cellStyle name="Porcentaje 2 3" xfId="409" xr:uid="{00000000-0005-0000-0000-00007F010000}"/>
    <cellStyle name="Porcentaje 3" xfId="340" xr:uid="{00000000-0005-0000-0000-000080010000}"/>
    <cellStyle name="Porcentaje 3 2" xfId="341" xr:uid="{00000000-0005-0000-0000-000081010000}"/>
    <cellStyle name="Porcentaje 4" xfId="342" xr:uid="{00000000-0005-0000-0000-000082010000}"/>
    <cellStyle name="Porcentaje 5" xfId="401" xr:uid="{00000000-0005-0000-0000-000083010000}"/>
    <cellStyle name="Porcentaje 6" xfId="433" xr:uid="{00000000-0005-0000-0000-000084010000}"/>
    <cellStyle name="Porcentaje 7" xfId="25" xr:uid="{00000000-0005-0000-0000-000085010000}"/>
    <cellStyle name="Porcentual 2" xfId="343" xr:uid="{00000000-0005-0000-0000-000087010000}"/>
    <cellStyle name="Porcentual 2 2" xfId="344" xr:uid="{00000000-0005-0000-0000-000088010000}"/>
    <cellStyle name="Porcentual 2 3" xfId="345" xr:uid="{00000000-0005-0000-0000-000089010000}"/>
    <cellStyle name="Porcentual 2 4" xfId="346" xr:uid="{00000000-0005-0000-0000-00008A010000}"/>
    <cellStyle name="Porcentual 2 5" xfId="347" xr:uid="{00000000-0005-0000-0000-00008B010000}"/>
    <cellStyle name="Porcentual 2 6" xfId="348" xr:uid="{00000000-0005-0000-0000-00008C010000}"/>
    <cellStyle name="Porcentual 3" xfId="349" xr:uid="{00000000-0005-0000-0000-00008D010000}"/>
    <cellStyle name="Porcentual 3 10" xfId="350" xr:uid="{00000000-0005-0000-0000-00008E010000}"/>
    <cellStyle name="Porcentual 3 11" xfId="351" xr:uid="{00000000-0005-0000-0000-00008F010000}"/>
    <cellStyle name="Porcentual 3 12" xfId="352" xr:uid="{00000000-0005-0000-0000-000090010000}"/>
    <cellStyle name="Porcentual 3 13" xfId="353" xr:uid="{00000000-0005-0000-0000-000091010000}"/>
    <cellStyle name="Porcentual 3 14" xfId="354" xr:uid="{00000000-0005-0000-0000-000092010000}"/>
    <cellStyle name="Porcentual 3 2" xfId="355" xr:uid="{00000000-0005-0000-0000-000093010000}"/>
    <cellStyle name="Porcentual 3 3" xfId="356" xr:uid="{00000000-0005-0000-0000-000094010000}"/>
    <cellStyle name="Porcentual 3 4" xfId="357" xr:uid="{00000000-0005-0000-0000-000095010000}"/>
    <cellStyle name="Porcentual 3 5" xfId="358" xr:uid="{00000000-0005-0000-0000-000096010000}"/>
    <cellStyle name="Porcentual 3 6" xfId="359" xr:uid="{00000000-0005-0000-0000-000097010000}"/>
    <cellStyle name="Porcentual 3 7" xfId="360" xr:uid="{00000000-0005-0000-0000-000098010000}"/>
    <cellStyle name="Porcentual 3 8" xfId="361" xr:uid="{00000000-0005-0000-0000-000099010000}"/>
    <cellStyle name="Porcentual 3 9" xfId="362" xr:uid="{00000000-0005-0000-0000-00009A010000}"/>
    <cellStyle name="Salida 2" xfId="363" xr:uid="{00000000-0005-0000-0000-00009B010000}"/>
    <cellStyle name="Salida 2 2" xfId="424" xr:uid="{00000000-0005-0000-0000-00009C010000}"/>
    <cellStyle name="Salida 3" xfId="364" xr:uid="{00000000-0005-0000-0000-00009D010000}"/>
    <cellStyle name="Salida 3 2" xfId="425" xr:uid="{00000000-0005-0000-0000-00009E010000}"/>
    <cellStyle name="Salida 4" xfId="365" xr:uid="{00000000-0005-0000-0000-00009F010000}"/>
    <cellStyle name="Salida 4 2" xfId="426" xr:uid="{00000000-0005-0000-0000-0000A0010000}"/>
    <cellStyle name="Sheet Title" xfId="366" xr:uid="{00000000-0005-0000-0000-0000A1010000}"/>
    <cellStyle name="Texto de advertencia 2" xfId="367" xr:uid="{00000000-0005-0000-0000-0000A2010000}"/>
    <cellStyle name="Texto de advertencia 3" xfId="368" xr:uid="{00000000-0005-0000-0000-0000A3010000}"/>
    <cellStyle name="Texto de advertencia 4" xfId="369" xr:uid="{00000000-0005-0000-0000-0000A4010000}"/>
    <cellStyle name="Texto explicativo 2" xfId="370" xr:uid="{00000000-0005-0000-0000-0000A5010000}"/>
    <cellStyle name="Texto explicativo 3" xfId="371" xr:uid="{00000000-0005-0000-0000-0000A6010000}"/>
    <cellStyle name="Texto explicativo 4" xfId="372" xr:uid="{00000000-0005-0000-0000-0000A7010000}"/>
    <cellStyle name="Title" xfId="373" xr:uid="{00000000-0005-0000-0000-0000A8010000}"/>
    <cellStyle name="Título 1 2" xfId="374" xr:uid="{00000000-0005-0000-0000-0000A9010000}"/>
    <cellStyle name="Título 1 3" xfId="375" xr:uid="{00000000-0005-0000-0000-0000AA010000}"/>
    <cellStyle name="Título 1 4" xfId="376" xr:uid="{00000000-0005-0000-0000-0000AB010000}"/>
    <cellStyle name="Título 2 2" xfId="377" xr:uid="{00000000-0005-0000-0000-0000AC010000}"/>
    <cellStyle name="Título 2 3" xfId="378" xr:uid="{00000000-0005-0000-0000-0000AD010000}"/>
    <cellStyle name="Título 2 4" xfId="379" xr:uid="{00000000-0005-0000-0000-0000AE010000}"/>
    <cellStyle name="Título 3 2" xfId="380" xr:uid="{00000000-0005-0000-0000-0000AF010000}"/>
    <cellStyle name="Título 3 3" xfId="381" xr:uid="{00000000-0005-0000-0000-0000B0010000}"/>
    <cellStyle name="Título 3 4" xfId="382" xr:uid="{00000000-0005-0000-0000-0000B1010000}"/>
    <cellStyle name="Título 4" xfId="383" xr:uid="{00000000-0005-0000-0000-0000B2010000}"/>
    <cellStyle name="Título 5" xfId="384" xr:uid="{00000000-0005-0000-0000-0000B3010000}"/>
    <cellStyle name="Título 6" xfId="385" xr:uid="{00000000-0005-0000-0000-0000B4010000}"/>
    <cellStyle name="Total 2" xfId="386" xr:uid="{00000000-0005-0000-0000-0000B5010000}"/>
    <cellStyle name="Total 2 2" xfId="427" xr:uid="{00000000-0005-0000-0000-0000B6010000}"/>
    <cellStyle name="Total 3" xfId="387" xr:uid="{00000000-0005-0000-0000-0000B7010000}"/>
    <cellStyle name="Total 3 2" xfId="428" xr:uid="{00000000-0005-0000-0000-0000B8010000}"/>
    <cellStyle name="Total 4" xfId="388" xr:uid="{00000000-0005-0000-0000-0000B9010000}"/>
    <cellStyle name="Total 4 2" xfId="429" xr:uid="{00000000-0005-0000-0000-0000BA010000}"/>
    <cellStyle name="Warning Text" xfId="389" xr:uid="{00000000-0005-0000-0000-0000BB010000}"/>
  </cellStyles>
  <dxfs count="1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3798795</xdr:colOff>
      <xdr:row>3</xdr:row>
      <xdr:rowOff>67236</xdr:rowOff>
    </xdr:from>
    <xdr:to>
      <xdr:col>2</xdr:col>
      <xdr:colOff>938494</xdr:colOff>
      <xdr:row>8</xdr:row>
      <xdr:rowOff>48185</xdr:rowOff>
    </xdr:to>
    <xdr:pic>
      <xdr:nvPicPr>
        <xdr:cNvPr id="8" name="Imagen 7" descr="Archivo General de la Nación | AGN - Inici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883" y="705971"/>
          <a:ext cx="1962710" cy="106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172603</xdr:rowOff>
    </xdr:from>
    <xdr:to>
      <xdr:col>6</xdr:col>
      <xdr:colOff>4762</xdr:colOff>
      <xdr:row>9</xdr:row>
      <xdr:rowOff>58270</xdr:rowOff>
    </xdr:to>
    <xdr:pic>
      <xdr:nvPicPr>
        <xdr:cNvPr id="4" name="Imagen 3" descr="Archivo General de la Nación | AGN - Inic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3103"/>
          <a:ext cx="2590800" cy="140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tes104\Documents%20and%20Settings\patria.peguero\My%20Documents\My%20Received%20Files\LOTE%2071-ESCUELA%20HIVE%20PRESUPUESTOS%20Y%20ANALISIS%20DEL%201%20AL%204%20E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1"/>
      <sheetName val="PRESUPUESTO 2"/>
      <sheetName val="PRESUPUESTO 3"/>
      <sheetName val="PRESUPUESTO 4"/>
      <sheetName val="ANALISIS DE COSTO"/>
      <sheetName val="MATERIALES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53">
          <cell r="F1553">
            <v>8918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DF410"/>
  <sheetViews>
    <sheetView tabSelected="1" view="pageBreakPreview" zoomScale="85" zoomScaleNormal="85" zoomScaleSheetLayoutView="85" workbookViewId="0">
      <selection activeCell="F205" sqref="F205"/>
    </sheetView>
  </sheetViews>
  <sheetFormatPr baseColWidth="10" defaultColWidth="11.44140625" defaultRowHeight="13.8"/>
  <cols>
    <col min="1" max="1" width="20.109375" style="21" bestFit="1" customWidth="1"/>
    <col min="2" max="2" width="72.5546875" style="17" customWidth="1"/>
    <col min="3" max="3" width="15.6640625" style="20" customWidth="1"/>
    <col min="4" max="4" width="11" style="11" customWidth="1"/>
    <col min="5" max="5" width="24.6640625" style="19" bestFit="1" customWidth="1"/>
    <col min="6" max="6" width="16.5546875" style="19" customWidth="1"/>
    <col min="7" max="7" width="22" style="8" customWidth="1"/>
    <col min="8" max="8" width="9.5546875" style="3" bestFit="1" customWidth="1"/>
    <col min="9" max="47" width="5" style="3" customWidth="1"/>
    <col min="48" max="48" width="2" style="3" customWidth="1"/>
    <col min="49" max="49" width="4" style="3" customWidth="1"/>
    <col min="50" max="16384" width="11.44140625" style="3"/>
  </cols>
  <sheetData>
    <row r="1" spans="1:48" ht="16.5" customHeight="1">
      <c r="A1" s="3"/>
      <c r="B1" s="3"/>
      <c r="C1" s="3"/>
      <c r="D1" s="3"/>
      <c r="E1" s="3"/>
      <c r="F1" s="3"/>
      <c r="G1" s="3"/>
    </row>
    <row r="2" spans="1:48" ht="16.5" customHeight="1" thickBot="1">
      <c r="A2" s="3"/>
      <c r="B2" s="3"/>
      <c r="C2" s="3"/>
      <c r="D2" s="3"/>
      <c r="E2" s="3"/>
      <c r="F2" s="3"/>
      <c r="G2" s="3"/>
    </row>
    <row r="3" spans="1:48" ht="16.5" customHeight="1">
      <c r="A3" s="4"/>
      <c r="B3" s="5"/>
      <c r="C3" s="5"/>
      <c r="D3" s="5"/>
      <c r="E3" s="5"/>
      <c r="F3" s="5"/>
      <c r="G3" s="6"/>
    </row>
    <row r="4" spans="1:48" ht="16.5" customHeight="1">
      <c r="A4" s="7"/>
      <c r="B4" s="3"/>
      <c r="C4" s="3"/>
      <c r="D4" s="3"/>
      <c r="E4" s="3"/>
      <c r="F4" s="3"/>
    </row>
    <row r="5" spans="1:48" ht="16.5" customHeight="1">
      <c r="A5" s="7"/>
      <c r="B5" s="3"/>
      <c r="C5" s="3"/>
      <c r="D5" s="3"/>
      <c r="E5" s="3"/>
      <c r="F5" s="3"/>
    </row>
    <row r="6" spans="1:48" ht="16.5" customHeight="1">
      <c r="A6" s="7"/>
      <c r="B6" s="3"/>
      <c r="C6" s="3"/>
      <c r="D6" s="3"/>
      <c r="E6" s="3"/>
      <c r="F6" s="3"/>
    </row>
    <row r="7" spans="1:48" ht="17.25" customHeight="1">
      <c r="A7" s="7"/>
      <c r="B7" s="3"/>
      <c r="C7"/>
      <c r="D7"/>
      <c r="E7" s="3"/>
      <c r="F7" s="3"/>
    </row>
    <row r="8" spans="1:48" ht="17.25" customHeight="1">
      <c r="A8" s="7"/>
      <c r="B8" s="3"/>
      <c r="C8" s="3"/>
      <c r="D8" s="3"/>
      <c r="E8" s="3"/>
      <c r="F8" s="3"/>
    </row>
    <row r="9" spans="1:48" ht="17.25" customHeight="1">
      <c r="A9" s="7"/>
      <c r="B9" s="3"/>
      <c r="C9" s="3"/>
      <c r="D9" s="3"/>
      <c r="E9" s="3"/>
      <c r="F9" s="3"/>
    </row>
    <row r="10" spans="1:48" ht="17.25" customHeight="1">
      <c r="A10" s="566" t="s">
        <v>68</v>
      </c>
      <c r="B10" s="567"/>
      <c r="C10" s="567"/>
      <c r="D10" s="567"/>
      <c r="E10" s="567"/>
      <c r="F10" s="567"/>
      <c r="G10" s="568"/>
    </row>
    <row r="11" spans="1:48" ht="17.25" customHeight="1">
      <c r="A11" s="569"/>
      <c r="B11" s="570"/>
      <c r="C11" s="570"/>
      <c r="D11" s="570"/>
      <c r="E11" s="570"/>
      <c r="F11" s="570"/>
      <c r="G11" s="57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8" ht="15.75" customHeight="1">
      <c r="A12" s="10"/>
      <c r="B12" s="437"/>
      <c r="C12" s="572"/>
      <c r="D12" s="572"/>
      <c r="E12" s="572"/>
      <c r="F12" s="572"/>
      <c r="G12" s="573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8" ht="22.95" customHeight="1">
      <c r="A13" s="448" t="s">
        <v>155</v>
      </c>
      <c r="B13" s="449" t="s">
        <v>540</v>
      </c>
      <c r="C13" s="450"/>
      <c r="D13" s="450"/>
      <c r="E13" s="450"/>
      <c r="F13" s="450"/>
      <c r="G13" s="45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8" ht="15.75" customHeight="1">
      <c r="A14" s="448" t="s">
        <v>150</v>
      </c>
      <c r="B14" s="450" t="s">
        <v>151</v>
      </c>
      <c r="C14" s="452"/>
      <c r="D14" s="452"/>
      <c r="E14" s="563" t="s">
        <v>152</v>
      </c>
      <c r="F14" s="563"/>
      <c r="G14" s="494" t="s">
        <v>711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8" ht="15.75" customHeight="1">
      <c r="A15" s="448" t="s">
        <v>153</v>
      </c>
      <c r="B15" s="450" t="s">
        <v>154</v>
      </c>
      <c r="C15" s="452"/>
      <c r="D15" s="452"/>
      <c r="E15" s="561"/>
      <c r="F15" s="561"/>
      <c r="G15" s="562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8" ht="15.75" customHeight="1" thickBot="1">
      <c r="A16" s="37"/>
      <c r="B16" s="38"/>
      <c r="C16" s="574"/>
      <c r="D16" s="574"/>
      <c r="E16" s="574"/>
      <c r="F16" s="436"/>
      <c r="G16" s="3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7" s="134" customFormat="1" ht="18" thickBot="1">
      <c r="A17" s="133" t="s">
        <v>156</v>
      </c>
      <c r="B17" s="133" t="s">
        <v>157</v>
      </c>
      <c r="C17" s="133" t="s">
        <v>5</v>
      </c>
      <c r="D17" s="133" t="s">
        <v>4</v>
      </c>
      <c r="E17" s="133" t="s">
        <v>158</v>
      </c>
      <c r="F17" s="133" t="s">
        <v>159</v>
      </c>
      <c r="G17" s="132" t="s">
        <v>160</v>
      </c>
    </row>
    <row r="18" spans="1:47" ht="16.5" customHeight="1">
      <c r="A18" s="453">
        <v>1</v>
      </c>
      <c r="B18" s="40" t="s">
        <v>6</v>
      </c>
      <c r="C18" s="41"/>
      <c r="D18" s="42"/>
      <c r="E18" s="43"/>
      <c r="F18" s="43"/>
      <c r="G18" s="454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ht="126.6" customHeight="1">
      <c r="A19" s="455">
        <f>0.01+A18</f>
        <v>1.01</v>
      </c>
      <c r="B19" s="535" t="s">
        <v>695</v>
      </c>
      <c r="C19" s="45">
        <v>1</v>
      </c>
      <c r="D19" s="558" t="s">
        <v>7</v>
      </c>
      <c r="E19" s="534"/>
      <c r="F19" s="47">
        <f>+E19*C19</f>
        <v>0</v>
      </c>
      <c r="G19" s="533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s="12" customFormat="1" ht="15">
      <c r="A20" s="455">
        <f>0.01+A19</f>
        <v>1.02</v>
      </c>
      <c r="B20" s="44" t="s">
        <v>247</v>
      </c>
      <c r="C20" s="45">
        <v>9</v>
      </c>
      <c r="D20" s="46" t="s">
        <v>7</v>
      </c>
      <c r="E20" s="47"/>
      <c r="F20" s="47">
        <f>+E20*C20</f>
        <v>0</v>
      </c>
      <c r="G20" s="456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</row>
    <row r="21" spans="1:47" s="12" customFormat="1" ht="15">
      <c r="A21" s="455">
        <f>0.01+A20</f>
        <v>1.03</v>
      </c>
      <c r="B21" s="44" t="s">
        <v>399</v>
      </c>
      <c r="C21" s="45">
        <v>3</v>
      </c>
      <c r="D21" s="46" t="s">
        <v>7</v>
      </c>
      <c r="E21" s="47"/>
      <c r="F21" s="47">
        <f>+E21*C21</f>
        <v>0</v>
      </c>
      <c r="G21" s="456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</row>
    <row r="22" spans="1:47" s="12" customFormat="1" ht="15">
      <c r="A22" s="455">
        <f t="shared" ref="A22:A55" si="0">0.01+A21</f>
        <v>1.04</v>
      </c>
      <c r="B22" s="44" t="s">
        <v>203</v>
      </c>
      <c r="C22" s="45">
        <v>1</v>
      </c>
      <c r="D22" s="46" t="s">
        <v>7</v>
      </c>
      <c r="E22" s="47"/>
      <c r="F22" s="47">
        <f>+E22*C22</f>
        <v>0</v>
      </c>
      <c r="G22" s="456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</row>
    <row r="23" spans="1:47" s="12" customFormat="1" ht="15">
      <c r="A23" s="455">
        <f t="shared" si="0"/>
        <v>1.05</v>
      </c>
      <c r="B23" s="44" t="s">
        <v>235</v>
      </c>
      <c r="C23" s="45">
        <v>1</v>
      </c>
      <c r="D23" s="46" t="s">
        <v>7</v>
      </c>
      <c r="E23" s="47"/>
      <c r="F23" s="47">
        <f t="shared" ref="F23:F26" si="1">+E23*C23</f>
        <v>0</v>
      </c>
      <c r="G23" s="456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</row>
    <row r="24" spans="1:47" s="12" customFormat="1" ht="30">
      <c r="A24" s="455">
        <f t="shared" si="0"/>
        <v>1.06</v>
      </c>
      <c r="B24" s="44" t="s">
        <v>240</v>
      </c>
      <c r="C24" s="45">
        <f>160+5.74</f>
        <v>165.74</v>
      </c>
      <c r="D24" s="46" t="s">
        <v>8</v>
      </c>
      <c r="E24" s="47"/>
      <c r="F24" s="47">
        <f t="shared" si="1"/>
        <v>0</v>
      </c>
      <c r="G24" s="456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</row>
    <row r="25" spans="1:47" s="12" customFormat="1" ht="15">
      <c r="A25" s="455">
        <f t="shared" si="0"/>
        <v>1.07</v>
      </c>
      <c r="B25" s="44" t="s">
        <v>696</v>
      </c>
      <c r="C25" s="45">
        <v>7.52</v>
      </c>
      <c r="D25" s="46" t="s">
        <v>7</v>
      </c>
      <c r="E25" s="47"/>
      <c r="F25" s="47">
        <f t="shared" si="1"/>
        <v>0</v>
      </c>
      <c r="G25" s="456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47" s="12" customFormat="1" ht="15">
      <c r="A26" s="455">
        <f t="shared" si="0"/>
        <v>1.08</v>
      </c>
      <c r="B26" s="44" t="s">
        <v>261</v>
      </c>
      <c r="C26" s="45">
        <f>VOLUMENES!C5</f>
        <v>9.2601999999999993</v>
      </c>
      <c r="D26" s="46" t="s">
        <v>8</v>
      </c>
      <c r="E26" s="47"/>
      <c r="F26" s="47">
        <f t="shared" si="1"/>
        <v>0</v>
      </c>
      <c r="G26" s="456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47" s="12" customFormat="1" ht="15">
      <c r="A27" s="455">
        <f t="shared" si="0"/>
        <v>1.0900000000000001</v>
      </c>
      <c r="B27" s="44" t="s">
        <v>204</v>
      </c>
      <c r="C27" s="45">
        <f>VOLUMENES!C7</f>
        <v>15.045549999999999</v>
      </c>
      <c r="D27" s="46" t="s">
        <v>8</v>
      </c>
      <c r="E27" s="47"/>
      <c r="F27" s="47">
        <f t="shared" ref="F27:F109" si="2">+E27*C27</f>
        <v>0</v>
      </c>
      <c r="G27" s="456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</row>
    <row r="28" spans="1:47" s="12" customFormat="1" ht="30">
      <c r="A28" s="455">
        <f t="shared" si="0"/>
        <v>1.1000000000000001</v>
      </c>
      <c r="B28" s="44" t="s">
        <v>201</v>
      </c>
      <c r="C28" s="45">
        <v>115.32</v>
      </c>
      <c r="D28" s="46" t="s">
        <v>8</v>
      </c>
      <c r="E28" s="47"/>
      <c r="F28" s="47">
        <f t="shared" si="2"/>
        <v>0</v>
      </c>
      <c r="G28" s="456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</row>
    <row r="29" spans="1:47" s="12" customFormat="1" ht="15">
      <c r="A29" s="455">
        <f t="shared" si="0"/>
        <v>1.1100000000000001</v>
      </c>
      <c r="B29" s="44" t="s">
        <v>263</v>
      </c>
      <c r="C29" s="45">
        <v>1</v>
      </c>
      <c r="D29" s="46" t="s">
        <v>107</v>
      </c>
      <c r="E29" s="47"/>
      <c r="F29" s="47">
        <f t="shared" si="2"/>
        <v>0</v>
      </c>
      <c r="G29" s="456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</row>
    <row r="30" spans="1:47" s="12" customFormat="1" ht="30">
      <c r="A30" s="455">
        <f t="shared" si="0"/>
        <v>1.1200000000000001</v>
      </c>
      <c r="B30" s="44" t="s">
        <v>252</v>
      </c>
      <c r="C30" s="45">
        <v>1</v>
      </c>
      <c r="D30" s="46" t="s">
        <v>107</v>
      </c>
      <c r="E30" s="47"/>
      <c r="F30" s="47">
        <f t="shared" si="2"/>
        <v>0</v>
      </c>
      <c r="G30" s="456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</row>
    <row r="31" spans="1:47" s="12" customFormat="1" ht="57" customHeight="1">
      <c r="A31" s="455">
        <f t="shared" si="0"/>
        <v>1.1300000000000001</v>
      </c>
      <c r="B31" s="48" t="s">
        <v>246</v>
      </c>
      <c r="C31" s="438">
        <v>10</v>
      </c>
      <c r="D31" s="46" t="s">
        <v>7</v>
      </c>
      <c r="E31" s="47"/>
      <c r="F31" s="47">
        <f t="shared" ref="F31:F32" si="3">+E31*C31</f>
        <v>0</v>
      </c>
      <c r="G31" s="456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</row>
    <row r="32" spans="1:47" s="12" customFormat="1" ht="18.600000000000001" customHeight="1">
      <c r="A32" s="455">
        <f t="shared" si="0"/>
        <v>1.1400000000000001</v>
      </c>
      <c r="B32" s="48" t="s">
        <v>253</v>
      </c>
      <c r="C32" s="438">
        <v>10</v>
      </c>
      <c r="D32" s="46" t="s">
        <v>7</v>
      </c>
      <c r="E32" s="47"/>
      <c r="F32" s="47">
        <f t="shared" si="3"/>
        <v>0</v>
      </c>
      <c r="G32" s="456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</row>
    <row r="33" spans="1:47" s="12" customFormat="1" ht="19.95" customHeight="1">
      <c r="A33" s="455">
        <f t="shared" si="0"/>
        <v>1.1500000000000001</v>
      </c>
      <c r="B33" s="44" t="s">
        <v>411</v>
      </c>
      <c r="C33" s="49">
        <v>9</v>
      </c>
      <c r="D33" s="46" t="s">
        <v>7</v>
      </c>
      <c r="E33" s="47"/>
      <c r="F33" s="47">
        <f t="shared" ref="F33:F54" si="4">+E33*C33</f>
        <v>0</v>
      </c>
      <c r="G33" s="456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</row>
    <row r="34" spans="1:47" s="12" customFormat="1" ht="15">
      <c r="A34" s="455">
        <f t="shared" si="0"/>
        <v>1.1600000000000001</v>
      </c>
      <c r="B34" s="44" t="s">
        <v>410</v>
      </c>
      <c r="C34" s="49">
        <v>3</v>
      </c>
      <c r="D34" s="46" t="s">
        <v>7</v>
      </c>
      <c r="E34" s="47"/>
      <c r="F34" s="47">
        <f t="shared" si="4"/>
        <v>0</v>
      </c>
      <c r="G34" s="456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</row>
    <row r="35" spans="1:47" s="12" customFormat="1" ht="15">
      <c r="A35" s="455">
        <f t="shared" si="0"/>
        <v>1.1700000000000002</v>
      </c>
      <c r="B35" s="44" t="s">
        <v>409</v>
      </c>
      <c r="C35" s="49">
        <v>1</v>
      </c>
      <c r="D35" s="46" t="s">
        <v>7</v>
      </c>
      <c r="E35" s="47"/>
      <c r="F35" s="47">
        <f t="shared" si="4"/>
        <v>0</v>
      </c>
      <c r="G35" s="456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</row>
    <row r="36" spans="1:47" s="12" customFormat="1" ht="30">
      <c r="A36" s="455">
        <f t="shared" si="0"/>
        <v>1.1800000000000002</v>
      </c>
      <c r="B36" s="44" t="s">
        <v>248</v>
      </c>
      <c r="C36" s="49">
        <v>10</v>
      </c>
      <c r="D36" s="46" t="s">
        <v>7</v>
      </c>
      <c r="E36" s="47"/>
      <c r="F36" s="47">
        <f t="shared" si="4"/>
        <v>0</v>
      </c>
      <c r="G36" s="456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</row>
    <row r="37" spans="1:47" s="12" customFormat="1" ht="15">
      <c r="A37" s="455">
        <f t="shared" si="0"/>
        <v>1.1900000000000002</v>
      </c>
      <c r="B37" s="44" t="s">
        <v>686</v>
      </c>
      <c r="C37" s="49">
        <v>5</v>
      </c>
      <c r="D37" s="46" t="s">
        <v>7</v>
      </c>
      <c r="E37" s="47"/>
      <c r="F37" s="47">
        <f t="shared" si="4"/>
        <v>0</v>
      </c>
      <c r="G37" s="456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 s="12" customFormat="1" ht="15">
      <c r="A38" s="455">
        <f t="shared" si="0"/>
        <v>1.2000000000000002</v>
      </c>
      <c r="B38" s="44" t="s">
        <v>317</v>
      </c>
      <c r="C38" s="49">
        <v>10</v>
      </c>
      <c r="D38" s="46" t="s">
        <v>7</v>
      </c>
      <c r="E38" s="47"/>
      <c r="F38" s="47">
        <f t="shared" si="4"/>
        <v>0</v>
      </c>
      <c r="G38" s="456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</row>
    <row r="39" spans="1:47" s="12" customFormat="1" ht="30">
      <c r="A39" s="455">
        <f t="shared" si="0"/>
        <v>1.2100000000000002</v>
      </c>
      <c r="B39" s="44" t="s">
        <v>256</v>
      </c>
      <c r="C39" s="49">
        <v>5</v>
      </c>
      <c r="D39" s="46" t="s">
        <v>7</v>
      </c>
      <c r="E39" s="47"/>
      <c r="F39" s="47">
        <f t="shared" si="4"/>
        <v>0</v>
      </c>
      <c r="G39" s="456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</row>
    <row r="40" spans="1:47" s="12" customFormat="1" ht="15">
      <c r="A40" s="455">
        <f t="shared" si="0"/>
        <v>1.2200000000000002</v>
      </c>
      <c r="B40" s="48" t="s">
        <v>28</v>
      </c>
      <c r="C40" s="438">
        <v>30</v>
      </c>
      <c r="D40" s="46" t="s">
        <v>7</v>
      </c>
      <c r="E40" s="47"/>
      <c r="F40" s="47">
        <f t="shared" si="4"/>
        <v>0</v>
      </c>
      <c r="G40" s="456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</row>
    <row r="41" spans="1:47" s="12" customFormat="1" ht="30">
      <c r="A41" s="455">
        <f t="shared" si="0"/>
        <v>1.2300000000000002</v>
      </c>
      <c r="B41" s="44" t="s">
        <v>286</v>
      </c>
      <c r="C41" s="49">
        <v>18</v>
      </c>
      <c r="D41" s="46" t="s">
        <v>254</v>
      </c>
      <c r="E41" s="47"/>
      <c r="F41" s="47">
        <f t="shared" si="4"/>
        <v>0</v>
      </c>
      <c r="G41" s="456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</row>
    <row r="42" spans="1:47" s="12" customFormat="1" ht="32.4" customHeight="1">
      <c r="A42" s="455">
        <f t="shared" si="0"/>
        <v>1.2400000000000002</v>
      </c>
      <c r="B42" s="48" t="s">
        <v>690</v>
      </c>
      <c r="C42" s="438">
        <v>20</v>
      </c>
      <c r="D42" s="46" t="s">
        <v>692</v>
      </c>
      <c r="E42" s="47"/>
      <c r="F42" s="47">
        <f t="shared" si="4"/>
        <v>0</v>
      </c>
      <c r="G42" s="457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</row>
    <row r="43" spans="1:47" s="12" customFormat="1" ht="45">
      <c r="A43" s="455">
        <f t="shared" si="0"/>
        <v>1.2500000000000002</v>
      </c>
      <c r="B43" s="48" t="s">
        <v>257</v>
      </c>
      <c r="C43" s="438">
        <v>5</v>
      </c>
      <c r="D43" s="46" t="s">
        <v>255</v>
      </c>
      <c r="E43" s="47"/>
      <c r="F43" s="47">
        <f t="shared" si="4"/>
        <v>0</v>
      </c>
      <c r="G43" s="457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</row>
    <row r="44" spans="1:47" s="12" customFormat="1" ht="30">
      <c r="A44" s="455">
        <f t="shared" si="0"/>
        <v>1.2600000000000002</v>
      </c>
      <c r="B44" s="48" t="s">
        <v>277</v>
      </c>
      <c r="C44" s="438">
        <v>5.74</v>
      </c>
      <c r="D44" s="46" t="s">
        <v>8</v>
      </c>
      <c r="E44" s="47"/>
      <c r="F44" s="47">
        <f t="shared" si="4"/>
        <v>0</v>
      </c>
      <c r="G44" s="457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</row>
    <row r="45" spans="1:47" s="12" customFormat="1" ht="30.6" customHeight="1">
      <c r="A45" s="455">
        <f t="shared" si="0"/>
        <v>1.2700000000000002</v>
      </c>
      <c r="B45" s="48" t="s">
        <v>701</v>
      </c>
      <c r="C45" s="438">
        <v>7.0000000000000007E-2</v>
      </c>
      <c r="D45" s="46" t="s">
        <v>74</v>
      </c>
      <c r="E45" s="47"/>
      <c r="F45" s="47">
        <f t="shared" si="4"/>
        <v>0</v>
      </c>
      <c r="G45" s="457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</row>
    <row r="46" spans="1:47" s="12" customFormat="1" ht="15" customHeight="1">
      <c r="A46" s="455">
        <f t="shared" si="0"/>
        <v>1.2800000000000002</v>
      </c>
      <c r="B46" s="48" t="s">
        <v>284</v>
      </c>
      <c r="C46" s="438">
        <v>1</v>
      </c>
      <c r="D46" s="46" t="s">
        <v>107</v>
      </c>
      <c r="E46" s="47"/>
      <c r="F46" s="47">
        <f t="shared" si="4"/>
        <v>0</v>
      </c>
      <c r="G46" s="457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</row>
    <row r="47" spans="1:47" s="12" customFormat="1" ht="15" customHeight="1">
      <c r="A47" s="455">
        <f t="shared" si="0"/>
        <v>1.2900000000000003</v>
      </c>
      <c r="B47" s="48" t="s">
        <v>279</v>
      </c>
      <c r="C47" s="438">
        <v>1</v>
      </c>
      <c r="D47" s="46" t="s">
        <v>278</v>
      </c>
      <c r="E47" s="47"/>
      <c r="F47" s="47">
        <f t="shared" si="4"/>
        <v>0</v>
      </c>
      <c r="G47" s="457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</row>
    <row r="48" spans="1:47" s="12" customFormat="1" ht="15" customHeight="1">
      <c r="A48" s="455">
        <f t="shared" si="0"/>
        <v>1.3000000000000003</v>
      </c>
      <c r="B48" s="48" t="s">
        <v>223</v>
      </c>
      <c r="C48" s="438">
        <f>2*2.39*2.4</f>
        <v>11.472</v>
      </c>
      <c r="D48" s="46" t="s">
        <v>8</v>
      </c>
      <c r="E48" s="47"/>
      <c r="F48" s="47">
        <f t="shared" si="4"/>
        <v>0</v>
      </c>
      <c r="G48" s="457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</row>
    <row r="49" spans="1:47" s="12" customFormat="1" ht="15">
      <c r="A49" s="455">
        <f t="shared" si="0"/>
        <v>1.3100000000000003</v>
      </c>
      <c r="B49" s="48" t="s">
        <v>281</v>
      </c>
      <c r="C49" s="438">
        <v>11.47</v>
      </c>
      <c r="D49" s="46" t="s">
        <v>8</v>
      </c>
      <c r="E49" s="47"/>
      <c r="F49" s="47">
        <f t="shared" si="4"/>
        <v>0</v>
      </c>
      <c r="G49" s="457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 s="12" customFormat="1" ht="15">
      <c r="A50" s="455">
        <f t="shared" si="0"/>
        <v>1.3200000000000003</v>
      </c>
      <c r="B50" s="48" t="s">
        <v>282</v>
      </c>
      <c r="C50" s="438">
        <v>13.28</v>
      </c>
      <c r="D50" s="46" t="s">
        <v>278</v>
      </c>
      <c r="E50" s="47"/>
      <c r="F50" s="47">
        <f t="shared" si="4"/>
        <v>0</v>
      </c>
      <c r="G50" s="457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</row>
    <row r="51" spans="1:47" s="12" customFormat="1" ht="49.95" customHeight="1">
      <c r="A51" s="455">
        <f t="shared" si="0"/>
        <v>1.3300000000000003</v>
      </c>
      <c r="B51" s="48" t="s">
        <v>693</v>
      </c>
      <c r="C51" s="438">
        <v>1</v>
      </c>
      <c r="D51" s="46" t="s">
        <v>107</v>
      </c>
      <c r="E51" s="47"/>
      <c r="F51" s="47">
        <f t="shared" si="4"/>
        <v>0</v>
      </c>
      <c r="G51" s="457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</row>
    <row r="52" spans="1:47" s="12" customFormat="1" ht="30.6" customHeight="1">
      <c r="A52" s="455">
        <f t="shared" si="0"/>
        <v>1.3400000000000003</v>
      </c>
      <c r="B52" s="48" t="s">
        <v>694</v>
      </c>
      <c r="C52" s="438">
        <v>1</v>
      </c>
      <c r="D52" s="46" t="s">
        <v>107</v>
      </c>
      <c r="E52" s="47"/>
      <c r="F52" s="47">
        <f t="shared" si="4"/>
        <v>0</v>
      </c>
      <c r="G52" s="457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</row>
    <row r="53" spans="1:47" s="12" customFormat="1" ht="30.6" customHeight="1">
      <c r="A53" s="455">
        <f t="shared" si="0"/>
        <v>1.3500000000000003</v>
      </c>
      <c r="B53" s="48" t="s">
        <v>534</v>
      </c>
      <c r="C53" s="438">
        <v>1</v>
      </c>
      <c r="D53" s="46" t="s">
        <v>107</v>
      </c>
      <c r="E53" s="47"/>
      <c r="F53" s="47">
        <f t="shared" si="4"/>
        <v>0</v>
      </c>
      <c r="G53" s="457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</row>
    <row r="54" spans="1:47" s="12" customFormat="1" ht="30.6" customHeight="1">
      <c r="A54" s="455">
        <f t="shared" si="0"/>
        <v>1.3600000000000003</v>
      </c>
      <c r="B54" s="48" t="s">
        <v>547</v>
      </c>
      <c r="C54" s="438">
        <v>1</v>
      </c>
      <c r="D54" s="46" t="s">
        <v>107</v>
      </c>
      <c r="E54" s="47"/>
      <c r="F54" s="47">
        <f t="shared" si="4"/>
        <v>0</v>
      </c>
      <c r="G54" s="457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</row>
    <row r="55" spans="1:47" s="12" customFormat="1" ht="15">
      <c r="A55" s="455">
        <f t="shared" si="0"/>
        <v>1.3700000000000003</v>
      </c>
      <c r="B55" s="48" t="s">
        <v>280</v>
      </c>
      <c r="C55" s="438">
        <v>13</v>
      </c>
      <c r="D55" s="46" t="s">
        <v>710</v>
      </c>
      <c r="E55" s="47"/>
      <c r="F55" s="47">
        <f t="shared" ref="F55" si="5">+E55*C55</f>
        <v>0</v>
      </c>
      <c r="G55" s="457">
        <f>SUM(F19:F55)</f>
        <v>0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</row>
    <row r="56" spans="1:47" s="12" customFormat="1" ht="15">
      <c r="A56" s="455"/>
      <c r="B56" s="559"/>
      <c r="C56" s="560"/>
      <c r="D56" s="513"/>
      <c r="E56" s="539"/>
      <c r="F56" s="539"/>
      <c r="G56" s="457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</row>
    <row r="57" spans="1:47" s="12" customFormat="1" ht="15">
      <c r="A57" s="453">
        <f>1+A18</f>
        <v>2</v>
      </c>
      <c r="B57" s="440" t="s">
        <v>190</v>
      </c>
      <c r="C57" s="434"/>
      <c r="D57" s="434"/>
      <c r="E57" s="434"/>
      <c r="F57" s="434"/>
      <c r="G57" s="454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</row>
    <row r="58" spans="1:47" s="12" customFormat="1" ht="30">
      <c r="A58" s="455">
        <v>2.0099999999999998</v>
      </c>
      <c r="B58" s="458" t="s">
        <v>469</v>
      </c>
      <c r="C58" s="459">
        <v>5</v>
      </c>
      <c r="D58" s="460" t="s">
        <v>8</v>
      </c>
      <c r="E58" s="461"/>
      <c r="F58" s="47">
        <f t="shared" ref="F58:F61" si="6">ROUND(C58*E58,2)</f>
        <v>0</v>
      </c>
      <c r="G58" s="462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8"/>
      <c r="AH58" s="388"/>
      <c r="AI58" s="388"/>
      <c r="AJ58" s="388"/>
      <c r="AK58" s="388"/>
      <c r="AL58" s="388"/>
      <c r="AM58" s="388"/>
      <c r="AN58" s="388"/>
      <c r="AO58" s="388"/>
      <c r="AP58" s="388"/>
      <c r="AQ58" s="388"/>
      <c r="AR58" s="388"/>
      <c r="AS58" s="388"/>
      <c r="AT58" s="388"/>
      <c r="AU58" s="388"/>
    </row>
    <row r="59" spans="1:47" s="12" customFormat="1" ht="15">
      <c r="A59" s="455">
        <f>0.01+A58</f>
        <v>2.0199999999999996</v>
      </c>
      <c r="B59" s="463" t="s">
        <v>223</v>
      </c>
      <c r="C59" s="459">
        <v>10</v>
      </c>
      <c r="D59" s="460" t="s">
        <v>8</v>
      </c>
      <c r="E59" s="464"/>
      <c r="F59" s="47">
        <f t="shared" si="6"/>
        <v>0</v>
      </c>
      <c r="G59" s="462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</row>
    <row r="60" spans="1:47" s="12" customFormat="1" ht="15">
      <c r="A60" s="455">
        <f>0.01+A59</f>
        <v>2.0299999999999994</v>
      </c>
      <c r="B60" s="463" t="s">
        <v>281</v>
      </c>
      <c r="C60" s="459">
        <v>10</v>
      </c>
      <c r="D60" s="460" t="s">
        <v>8</v>
      </c>
      <c r="E60" s="464"/>
      <c r="F60" s="47">
        <f t="shared" si="6"/>
        <v>0</v>
      </c>
      <c r="G60" s="462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</row>
    <row r="61" spans="1:47" s="12" customFormat="1" ht="15">
      <c r="A61" s="455">
        <f>0.01+A60</f>
        <v>2.0399999999999991</v>
      </c>
      <c r="B61" s="463" t="s">
        <v>282</v>
      </c>
      <c r="C61" s="459">
        <v>23.24</v>
      </c>
      <c r="D61" s="460" t="s">
        <v>278</v>
      </c>
      <c r="E61" s="464"/>
      <c r="F61" s="47">
        <f t="shared" si="6"/>
        <v>0</v>
      </c>
      <c r="G61" s="462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spans="1:47" s="12" customFormat="1" ht="19.2" customHeight="1">
      <c r="A62" s="455">
        <f>0.01+A61</f>
        <v>2.0499999999999989</v>
      </c>
      <c r="B62" s="48" t="s">
        <v>698</v>
      </c>
      <c r="C62" s="438">
        <v>7.12</v>
      </c>
      <c r="D62" s="46" t="s">
        <v>8</v>
      </c>
      <c r="E62" s="47"/>
      <c r="F62" s="47">
        <f>ROUND(C62*E62,2)</f>
        <v>0</v>
      </c>
      <c r="G62" s="457">
        <f>SUM(F58:F62)</f>
        <v>0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</row>
    <row r="63" spans="1:47" s="12" customFormat="1" ht="19.2" customHeight="1">
      <c r="A63" s="455"/>
      <c r="B63" s="559"/>
      <c r="C63" s="560"/>
      <c r="D63" s="513"/>
      <c r="E63" s="539"/>
      <c r="F63" s="539"/>
      <c r="G63" s="457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</row>
    <row r="64" spans="1:47" s="14" customFormat="1" ht="16.5" customHeight="1">
      <c r="A64" s="453">
        <v>3</v>
      </c>
      <c r="B64" s="40" t="s">
        <v>139</v>
      </c>
      <c r="C64" s="434"/>
      <c r="D64" s="434"/>
      <c r="E64" s="434"/>
      <c r="F64" s="434"/>
      <c r="G64" s="454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2" customFormat="1" ht="15">
      <c r="A65" s="455">
        <f>+A64+0.01</f>
        <v>3.01</v>
      </c>
      <c r="B65" s="48" t="s">
        <v>480</v>
      </c>
      <c r="C65" s="438">
        <f>+'MEMORIA CALCULO'!A74</f>
        <v>362.51</v>
      </c>
      <c r="D65" s="46" t="s">
        <v>8</v>
      </c>
      <c r="E65" s="47"/>
      <c r="F65" s="47">
        <f>ROUND(C65*E65,2)</f>
        <v>0</v>
      </c>
      <c r="G65" s="457">
        <f>+F65</f>
        <v>0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</row>
    <row r="66" spans="1:47" s="12" customFormat="1" ht="15">
      <c r="A66" s="455"/>
      <c r="B66" s="559"/>
      <c r="C66" s="560"/>
      <c r="D66" s="513"/>
      <c r="E66" s="539"/>
      <c r="F66" s="539"/>
      <c r="G66" s="457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</row>
    <row r="67" spans="1:47" s="14" customFormat="1" ht="16.5" customHeight="1">
      <c r="A67" s="453">
        <f>1+A64</f>
        <v>4</v>
      </c>
      <c r="B67" s="40" t="s">
        <v>27</v>
      </c>
      <c r="C67" s="434"/>
      <c r="D67" s="434"/>
      <c r="E67" s="434"/>
      <c r="F67" s="434"/>
      <c r="G67" s="454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2" customFormat="1" ht="105">
      <c r="A68" s="455">
        <f>0.01+A67</f>
        <v>4.01</v>
      </c>
      <c r="B68" s="44" t="s">
        <v>500</v>
      </c>
      <c r="C68" s="49">
        <f>+'MEMORIA CALCULO'!C70</f>
        <v>828.9045964799999</v>
      </c>
      <c r="D68" s="46" t="s">
        <v>35</v>
      </c>
      <c r="E68" s="47"/>
      <c r="F68" s="47">
        <f>+E68*C68</f>
        <v>0</v>
      </c>
      <c r="G68" s="456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</row>
    <row r="69" spans="1:47" customFormat="1" ht="15">
      <c r="A69" s="455">
        <f t="shared" ref="A69:A73" si="7">0.01+A68</f>
        <v>4.0199999999999996</v>
      </c>
      <c r="B69" s="48" t="s">
        <v>477</v>
      </c>
      <c r="C69" s="438">
        <f>+'MEMORIA CALCULO'!C95</f>
        <v>23.020199999999999</v>
      </c>
      <c r="D69" s="46" t="s">
        <v>8</v>
      </c>
      <c r="E69" s="47"/>
      <c r="F69" s="47">
        <f>+E69*C69</f>
        <v>0</v>
      </c>
      <c r="G69" s="456"/>
    </row>
    <row r="70" spans="1:47" customFormat="1" ht="15">
      <c r="A70" s="455">
        <f t="shared" si="7"/>
        <v>4.0299999999999994</v>
      </c>
      <c r="B70" s="48" t="s">
        <v>478</v>
      </c>
      <c r="C70" s="438">
        <f>+'MEMORIA CALCULO'!C112</f>
        <v>148.02640000000002</v>
      </c>
      <c r="D70" s="46" t="s">
        <v>8</v>
      </c>
      <c r="E70" s="47"/>
      <c r="F70" s="47">
        <f>+E70*C70</f>
        <v>0</v>
      </c>
      <c r="G70" s="465"/>
    </row>
    <row r="71" spans="1:47" customFormat="1" ht="30">
      <c r="A71" s="455">
        <f t="shared" si="7"/>
        <v>4.0399999999999991</v>
      </c>
      <c r="B71" s="48" t="s">
        <v>476</v>
      </c>
      <c r="C71" s="438">
        <f>+'MEMORIA CALCULO'!C120</f>
        <v>84.968000000000004</v>
      </c>
      <c r="D71" s="46" t="s">
        <v>8</v>
      </c>
      <c r="E71" s="47"/>
      <c r="F71" s="47">
        <f t="shared" ref="F71:F72" si="8">+E71*C71</f>
        <v>0</v>
      </c>
      <c r="G71" s="456"/>
    </row>
    <row r="72" spans="1:47" customFormat="1" ht="45">
      <c r="A72" s="455">
        <f t="shared" si="7"/>
        <v>4.0499999999999989</v>
      </c>
      <c r="B72" s="48" t="s">
        <v>535</v>
      </c>
      <c r="C72" s="438">
        <v>1</v>
      </c>
      <c r="D72" s="46" t="s">
        <v>7</v>
      </c>
      <c r="E72" s="47"/>
      <c r="F72" s="47">
        <f t="shared" si="8"/>
        <v>0</v>
      </c>
      <c r="G72" s="466"/>
    </row>
    <row r="73" spans="1:47" s="12" customFormat="1" ht="30">
      <c r="A73" s="455">
        <f t="shared" si="7"/>
        <v>4.0599999999999987</v>
      </c>
      <c r="B73" s="44" t="s">
        <v>481</v>
      </c>
      <c r="C73" s="49">
        <v>6</v>
      </c>
      <c r="D73" s="46" t="s">
        <v>7</v>
      </c>
      <c r="E73" s="47"/>
      <c r="F73" s="47">
        <f t="shared" si="2"/>
        <v>0</v>
      </c>
      <c r="G73" s="467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</row>
    <row r="74" spans="1:47" s="12" customFormat="1" ht="30">
      <c r="A74" s="468" t="s">
        <v>375</v>
      </c>
      <c r="B74" s="44" t="s">
        <v>414</v>
      </c>
      <c r="C74" s="49">
        <v>3</v>
      </c>
      <c r="D74" s="46" t="s">
        <v>7</v>
      </c>
      <c r="E74" s="47"/>
      <c r="F74" s="47">
        <f t="shared" si="2"/>
        <v>0</v>
      </c>
      <c r="G74" s="457">
        <f>SUM(F67:F74)</f>
        <v>0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</row>
    <row r="75" spans="1:47" s="12" customFormat="1" ht="19.5" customHeight="1">
      <c r="A75" s="455"/>
      <c r="B75" s="50"/>
      <c r="C75" s="51"/>
      <c r="D75" s="51"/>
      <c r="E75" s="52"/>
      <c r="F75" s="439"/>
      <c r="G75" s="456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</row>
    <row r="76" spans="1:47" s="12" customFormat="1" ht="15">
      <c r="A76" s="469" t="s">
        <v>374</v>
      </c>
      <c r="B76" s="53" t="s">
        <v>79</v>
      </c>
      <c r="C76" s="434"/>
      <c r="D76" s="434"/>
      <c r="E76" s="434"/>
      <c r="F76" s="434"/>
      <c r="G76" s="454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</row>
    <row r="77" spans="1:47" s="16" customFormat="1" ht="15">
      <c r="A77" s="455"/>
      <c r="B77" s="470" t="s">
        <v>80</v>
      </c>
      <c r="C77" s="471"/>
      <c r="D77" s="472"/>
      <c r="E77" s="473"/>
      <c r="F77" s="474"/>
      <c r="G77" s="456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</row>
    <row r="78" spans="1:47" s="16" customFormat="1" ht="15">
      <c r="A78" s="455"/>
      <c r="B78" s="470" t="s">
        <v>81</v>
      </c>
      <c r="C78" s="49"/>
      <c r="D78" s="54"/>
      <c r="E78" s="475"/>
      <c r="F78" s="47"/>
      <c r="G78" s="456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</row>
    <row r="79" spans="1:47" s="16" customFormat="1" ht="10.199999999999999" customHeight="1">
      <c r="A79" s="455">
        <f>+A76+0.01</f>
        <v>5.01</v>
      </c>
      <c r="B79" s="44" t="s">
        <v>679</v>
      </c>
      <c r="C79" s="476">
        <v>1</v>
      </c>
      <c r="D79" s="477" t="s">
        <v>17</v>
      </c>
      <c r="E79" s="478"/>
      <c r="F79" s="474">
        <f t="shared" ref="F79:F105" si="9">+E79*C79</f>
        <v>0</v>
      </c>
      <c r="G79" s="456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</row>
    <row r="80" spans="1:47" s="16" customFormat="1" ht="15" customHeight="1">
      <c r="A80" s="455">
        <f>+A79+0.01</f>
        <v>5.0199999999999996</v>
      </c>
      <c r="B80" s="44" t="s">
        <v>679</v>
      </c>
      <c r="C80" s="476">
        <v>2</v>
      </c>
      <c r="D80" s="477" t="s">
        <v>17</v>
      </c>
      <c r="E80" s="478"/>
      <c r="F80" s="474">
        <f t="shared" si="9"/>
        <v>0</v>
      </c>
      <c r="G80" s="456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</row>
    <row r="81" spans="1:47" s="16" customFormat="1" ht="15">
      <c r="A81" s="455">
        <f t="shared" ref="A81:A105" si="10">+A80+0.01</f>
        <v>5.0299999999999994</v>
      </c>
      <c r="B81" s="44" t="s">
        <v>682</v>
      </c>
      <c r="C81" s="476">
        <v>60</v>
      </c>
      <c r="D81" s="477" t="s">
        <v>38</v>
      </c>
      <c r="E81" s="478"/>
      <c r="F81" s="474">
        <f t="shared" si="9"/>
        <v>0</v>
      </c>
      <c r="G81" s="456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</row>
    <row r="82" spans="1:47" s="16" customFormat="1" ht="15">
      <c r="A82" s="455">
        <f t="shared" si="10"/>
        <v>5.0399999999999991</v>
      </c>
      <c r="B82" s="44" t="s">
        <v>82</v>
      </c>
      <c r="C82" s="476">
        <v>3</v>
      </c>
      <c r="D82" s="477" t="s">
        <v>17</v>
      </c>
      <c r="E82" s="478"/>
      <c r="F82" s="474">
        <f t="shared" si="9"/>
        <v>0</v>
      </c>
      <c r="G82" s="456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</row>
    <row r="83" spans="1:47" s="16" customFormat="1" ht="15">
      <c r="A83" s="455"/>
      <c r="B83" s="470" t="s">
        <v>83</v>
      </c>
      <c r="C83" s="476"/>
      <c r="D83" s="477"/>
      <c r="E83" s="478"/>
      <c r="F83" s="474"/>
      <c r="G83" s="456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</row>
    <row r="84" spans="1:47" s="16" customFormat="1" ht="15">
      <c r="A84" s="455">
        <f>+A82+0.01</f>
        <v>5.0499999999999989</v>
      </c>
      <c r="B84" s="44" t="s">
        <v>683</v>
      </c>
      <c r="C84" s="476">
        <v>40</v>
      </c>
      <c r="D84" s="477" t="s">
        <v>17</v>
      </c>
      <c r="E84" s="478"/>
      <c r="F84" s="474">
        <f t="shared" si="9"/>
        <v>0</v>
      </c>
      <c r="G84" s="456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</row>
    <row r="85" spans="1:47" s="16" customFormat="1" ht="15">
      <c r="A85" s="455">
        <f t="shared" si="10"/>
        <v>5.0599999999999987</v>
      </c>
      <c r="B85" s="44" t="s">
        <v>84</v>
      </c>
      <c r="C85" s="476">
        <v>60</v>
      </c>
      <c r="D85" s="477" t="s">
        <v>17</v>
      </c>
      <c r="E85" s="478"/>
      <c r="F85" s="474">
        <f t="shared" si="9"/>
        <v>0</v>
      </c>
      <c r="G85" s="456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</row>
    <row r="86" spans="1:47" s="16" customFormat="1" ht="15">
      <c r="A86" s="455">
        <f t="shared" si="10"/>
        <v>5.0699999999999985</v>
      </c>
      <c r="B86" s="44" t="s">
        <v>681</v>
      </c>
      <c r="C86" s="476">
        <v>60</v>
      </c>
      <c r="D86" s="477" t="s">
        <v>17</v>
      </c>
      <c r="E86" s="478"/>
      <c r="F86" s="474">
        <f t="shared" si="9"/>
        <v>0</v>
      </c>
      <c r="G86" s="456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</row>
    <row r="87" spans="1:47" s="16" customFormat="1" ht="15">
      <c r="A87" s="455">
        <f t="shared" si="10"/>
        <v>5.0799999999999983</v>
      </c>
      <c r="B87" s="44" t="s">
        <v>85</v>
      </c>
      <c r="C87" s="476">
        <v>60</v>
      </c>
      <c r="D87" s="477" t="s">
        <v>17</v>
      </c>
      <c r="E87" s="478"/>
      <c r="F87" s="474">
        <f t="shared" si="9"/>
        <v>0</v>
      </c>
      <c r="G87" s="456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</row>
    <row r="88" spans="1:47" s="16" customFormat="1" ht="15">
      <c r="A88" s="455">
        <f t="shared" si="10"/>
        <v>5.0899999999999981</v>
      </c>
      <c r="B88" s="44" t="s">
        <v>86</v>
      </c>
      <c r="C88" s="476">
        <v>60</v>
      </c>
      <c r="D88" s="477" t="s">
        <v>17</v>
      </c>
      <c r="E88" s="478"/>
      <c r="F88" s="474">
        <f t="shared" si="9"/>
        <v>0</v>
      </c>
      <c r="G88" s="456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</row>
    <row r="89" spans="1:47" s="16" customFormat="1" ht="15">
      <c r="A89" s="455">
        <f t="shared" si="10"/>
        <v>5.0999999999999979</v>
      </c>
      <c r="B89" s="44" t="s">
        <v>87</v>
      </c>
      <c r="C89" s="476">
        <v>6</v>
      </c>
      <c r="D89" s="477" t="s">
        <v>17</v>
      </c>
      <c r="E89" s="478"/>
      <c r="F89" s="474">
        <f t="shared" si="9"/>
        <v>0</v>
      </c>
      <c r="G89" s="456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</row>
    <row r="90" spans="1:47" s="16" customFormat="1" ht="15">
      <c r="A90" s="455">
        <f t="shared" si="10"/>
        <v>5.1099999999999977</v>
      </c>
      <c r="B90" s="44" t="s">
        <v>88</v>
      </c>
      <c r="C90" s="476">
        <v>8</v>
      </c>
      <c r="D90" s="477" t="s">
        <v>17</v>
      </c>
      <c r="E90" s="478"/>
      <c r="F90" s="474">
        <f t="shared" si="9"/>
        <v>0</v>
      </c>
      <c r="G90" s="456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</row>
    <row r="91" spans="1:47" s="16" customFormat="1" ht="15">
      <c r="A91" s="455">
        <f t="shared" si="10"/>
        <v>5.1199999999999974</v>
      </c>
      <c r="B91" s="44" t="s">
        <v>89</v>
      </c>
      <c r="C91" s="476">
        <v>2</v>
      </c>
      <c r="D91" s="477" t="s">
        <v>90</v>
      </c>
      <c r="E91" s="478"/>
      <c r="F91" s="474">
        <f t="shared" si="9"/>
        <v>0</v>
      </c>
      <c r="G91" s="456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</row>
    <row r="92" spans="1:47" s="16" customFormat="1" ht="15">
      <c r="A92" s="455">
        <f t="shared" si="10"/>
        <v>5.1299999999999972</v>
      </c>
      <c r="B92" s="44" t="s">
        <v>91</v>
      </c>
      <c r="C92" s="476">
        <v>2</v>
      </c>
      <c r="D92" s="477" t="s">
        <v>17</v>
      </c>
      <c r="E92" s="478"/>
      <c r="F92" s="474">
        <f t="shared" si="9"/>
        <v>0</v>
      </c>
      <c r="G92" s="456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</row>
    <row r="93" spans="1:47" s="16" customFormat="1" ht="15">
      <c r="A93" s="455">
        <f t="shared" si="10"/>
        <v>5.139999999999997</v>
      </c>
      <c r="B93" s="44" t="s">
        <v>92</v>
      </c>
      <c r="C93" s="476">
        <v>11</v>
      </c>
      <c r="D93" s="477" t="s">
        <v>17</v>
      </c>
      <c r="E93" s="478"/>
      <c r="F93" s="474">
        <f t="shared" si="9"/>
        <v>0</v>
      </c>
      <c r="G93" s="456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</row>
    <row r="94" spans="1:47" s="16" customFormat="1" ht="15">
      <c r="A94" s="455">
        <f t="shared" si="10"/>
        <v>5.1499999999999968</v>
      </c>
      <c r="B94" s="44" t="s">
        <v>93</v>
      </c>
      <c r="C94" s="476">
        <v>10</v>
      </c>
      <c r="D94" s="477" t="s">
        <v>17</v>
      </c>
      <c r="E94" s="478"/>
      <c r="F94" s="474">
        <f t="shared" si="9"/>
        <v>0</v>
      </c>
      <c r="G94" s="456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</row>
    <row r="95" spans="1:47" s="16" customFormat="1" ht="15">
      <c r="A95" s="455">
        <f t="shared" si="10"/>
        <v>5.1599999999999966</v>
      </c>
      <c r="B95" s="44" t="s">
        <v>94</v>
      </c>
      <c r="C95" s="476">
        <v>1</v>
      </c>
      <c r="D95" s="477" t="s">
        <v>17</v>
      </c>
      <c r="E95" s="478"/>
      <c r="F95" s="474">
        <f t="shared" si="9"/>
        <v>0</v>
      </c>
      <c r="G95" s="456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</row>
    <row r="96" spans="1:47" s="16" customFormat="1" ht="15">
      <c r="A96" s="455">
        <f t="shared" si="10"/>
        <v>5.1699999999999964</v>
      </c>
      <c r="B96" s="44" t="s">
        <v>95</v>
      </c>
      <c r="C96" s="476">
        <v>1</v>
      </c>
      <c r="D96" s="46" t="s">
        <v>595</v>
      </c>
      <c r="E96" s="478"/>
      <c r="F96" s="474">
        <f t="shared" si="9"/>
        <v>0</v>
      </c>
      <c r="G96" s="456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</row>
    <row r="97" spans="1:47" s="16" customFormat="1" ht="15">
      <c r="A97" s="455"/>
      <c r="B97" s="470" t="s">
        <v>96</v>
      </c>
      <c r="C97" s="476"/>
      <c r="D97" s="477"/>
      <c r="E97" s="478"/>
      <c r="F97" s="474"/>
      <c r="G97" s="456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</row>
    <row r="98" spans="1:47" s="16" customFormat="1" ht="15">
      <c r="A98" s="455">
        <f>+A96+0.01</f>
        <v>5.1799999999999962</v>
      </c>
      <c r="B98" s="44" t="s">
        <v>97</v>
      </c>
      <c r="C98" s="476">
        <v>2</v>
      </c>
      <c r="D98" s="477" t="s">
        <v>17</v>
      </c>
      <c r="E98" s="478"/>
      <c r="F98" s="474">
        <f t="shared" si="9"/>
        <v>0</v>
      </c>
      <c r="G98" s="456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</row>
    <row r="99" spans="1:47" s="16" customFormat="1" ht="15">
      <c r="A99" s="455">
        <f t="shared" si="10"/>
        <v>5.1899999999999959</v>
      </c>
      <c r="B99" s="44" t="s">
        <v>680</v>
      </c>
      <c r="C99" s="476">
        <v>70</v>
      </c>
      <c r="D99" s="477" t="s">
        <v>38</v>
      </c>
      <c r="E99" s="478"/>
      <c r="F99" s="474">
        <f t="shared" si="9"/>
        <v>0</v>
      </c>
      <c r="G99" s="456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</row>
    <row r="100" spans="1:47" s="16" customFormat="1" ht="15">
      <c r="A100" s="455">
        <f t="shared" si="10"/>
        <v>5.1999999999999957</v>
      </c>
      <c r="B100" s="44" t="s">
        <v>98</v>
      </c>
      <c r="C100" s="476">
        <v>1</v>
      </c>
      <c r="D100" s="46" t="s">
        <v>595</v>
      </c>
      <c r="E100" s="478"/>
      <c r="F100" s="474">
        <f t="shared" si="9"/>
        <v>0</v>
      </c>
      <c r="G100" s="456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</row>
    <row r="101" spans="1:47" s="16" customFormat="1" ht="15">
      <c r="A101" s="455"/>
      <c r="B101" s="470" t="s">
        <v>99</v>
      </c>
      <c r="C101" s="476"/>
      <c r="D101" s="477"/>
      <c r="E101" s="478"/>
      <c r="F101" s="474"/>
      <c r="G101" s="456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</row>
    <row r="102" spans="1:47" s="16" customFormat="1" ht="15">
      <c r="A102" s="455">
        <f>+A100+0.01</f>
        <v>5.2099999999999955</v>
      </c>
      <c r="B102" s="44" t="s">
        <v>684</v>
      </c>
      <c r="C102" s="476">
        <v>8</v>
      </c>
      <c r="D102" s="477" t="s">
        <v>17</v>
      </c>
      <c r="E102" s="478"/>
      <c r="F102" s="474">
        <f t="shared" si="9"/>
        <v>0</v>
      </c>
      <c r="G102" s="456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</row>
    <row r="103" spans="1:47" s="16" customFormat="1" ht="15">
      <c r="A103" s="455">
        <f t="shared" si="10"/>
        <v>5.2199999999999953</v>
      </c>
      <c r="B103" s="44" t="s">
        <v>100</v>
      </c>
      <c r="C103" s="476">
        <v>4</v>
      </c>
      <c r="D103" s="477" t="s">
        <v>17</v>
      </c>
      <c r="E103" s="478"/>
      <c r="F103" s="474">
        <f t="shared" si="9"/>
        <v>0</v>
      </c>
      <c r="G103" s="456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</row>
    <row r="104" spans="1:47" s="16" customFormat="1" ht="15">
      <c r="A104" s="455">
        <f t="shared" si="10"/>
        <v>5.2299999999999951</v>
      </c>
      <c r="B104" s="44" t="s">
        <v>101</v>
      </c>
      <c r="C104" s="476">
        <v>0.25</v>
      </c>
      <c r="D104" s="477" t="s">
        <v>685</v>
      </c>
      <c r="E104" s="478"/>
      <c r="F104" s="474">
        <f t="shared" si="9"/>
        <v>0</v>
      </c>
      <c r="G104" s="456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</row>
    <row r="105" spans="1:47" s="16" customFormat="1" ht="15">
      <c r="A105" s="455">
        <f t="shared" si="10"/>
        <v>5.2399999999999949</v>
      </c>
      <c r="B105" s="44" t="s">
        <v>102</v>
      </c>
      <c r="C105" s="476">
        <v>1</v>
      </c>
      <c r="D105" s="477" t="s">
        <v>17</v>
      </c>
      <c r="E105" s="478"/>
      <c r="F105" s="474">
        <f t="shared" si="9"/>
        <v>0</v>
      </c>
      <c r="G105" s="457">
        <f>SUM(F77:F105)</f>
        <v>0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</row>
    <row r="106" spans="1:47" s="16" customFormat="1" ht="15">
      <c r="A106" s="455"/>
      <c r="B106" s="511"/>
      <c r="C106" s="549"/>
      <c r="D106" s="550"/>
      <c r="E106" s="551"/>
      <c r="F106" s="474"/>
      <c r="G106" s="457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</row>
    <row r="107" spans="1:47" ht="16.5" customHeight="1">
      <c r="A107" s="453">
        <v>6</v>
      </c>
      <c r="B107" s="53" t="s">
        <v>19</v>
      </c>
      <c r="C107" s="434"/>
      <c r="D107" s="434"/>
      <c r="E107" s="434"/>
      <c r="F107" s="434"/>
      <c r="G107" s="454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16.5" customHeight="1">
      <c r="A108" s="455">
        <v>6.01</v>
      </c>
      <c r="B108" s="458" t="s">
        <v>434</v>
      </c>
      <c r="C108" s="459">
        <f>(33+12)*2*3*0.7</f>
        <v>189</v>
      </c>
      <c r="D108" s="460" t="s">
        <v>8</v>
      </c>
      <c r="E108" s="461"/>
      <c r="F108" s="464">
        <f>C108*E108</f>
        <v>0</v>
      </c>
      <c r="G108" s="462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12" customFormat="1" ht="15">
      <c r="A109" s="455">
        <f>0.01+A108</f>
        <v>6.02</v>
      </c>
      <c r="B109" s="44" t="s">
        <v>426</v>
      </c>
      <c r="C109" s="49">
        <f>+'MEMORIA CALCULO'!C138</f>
        <v>1600.7439999999999</v>
      </c>
      <c r="D109" s="46" t="s">
        <v>8</v>
      </c>
      <c r="E109" s="433"/>
      <c r="F109" s="47">
        <f t="shared" si="2"/>
        <v>0</v>
      </c>
      <c r="G109" s="457">
        <f>SUM(F108:F109)</f>
        <v>0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</row>
    <row r="110" spans="1:47" s="16" customFormat="1" ht="15">
      <c r="A110" s="455"/>
      <c r="B110" s="44"/>
      <c r="C110" s="45"/>
      <c r="D110" s="46"/>
      <c r="E110" s="45"/>
      <c r="F110" s="47"/>
      <c r="G110" s="456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</row>
    <row r="111" spans="1:47" ht="16.5" customHeight="1">
      <c r="A111" s="453">
        <f>1+A107</f>
        <v>7</v>
      </c>
      <c r="B111" s="53" t="s">
        <v>103</v>
      </c>
      <c r="C111" s="434"/>
      <c r="D111" s="434"/>
      <c r="E111" s="434"/>
      <c r="F111" s="434"/>
      <c r="G111" s="454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12" customFormat="1" ht="15">
      <c r="A112" s="455">
        <f>0.01+A111</f>
        <v>7.01</v>
      </c>
      <c r="B112" s="44" t="s">
        <v>104</v>
      </c>
      <c r="C112" s="45">
        <v>12</v>
      </c>
      <c r="D112" s="46" t="s">
        <v>7</v>
      </c>
      <c r="E112" s="47"/>
      <c r="F112" s="47">
        <f t="shared" ref="F112:F114" si="11">+E112*C112</f>
        <v>0</v>
      </c>
      <c r="G112" s="456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</row>
    <row r="113" spans="1:47" s="12" customFormat="1" ht="15">
      <c r="A113" s="455">
        <f>0.01+A112</f>
        <v>7.02</v>
      </c>
      <c r="B113" s="44" t="s">
        <v>105</v>
      </c>
      <c r="C113" s="45">
        <v>2</v>
      </c>
      <c r="D113" s="46" t="s">
        <v>7</v>
      </c>
      <c r="E113" s="47"/>
      <c r="F113" s="47">
        <f t="shared" si="11"/>
        <v>0</v>
      </c>
      <c r="G113" s="456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</row>
    <row r="114" spans="1:47" s="12" customFormat="1" ht="15">
      <c r="A114" s="455">
        <f t="shared" ref="A114:A117" si="12">0.01+A113</f>
        <v>7.0299999999999994</v>
      </c>
      <c r="B114" s="44" t="s">
        <v>106</v>
      </c>
      <c r="C114" s="45">
        <f>69+2</f>
        <v>71</v>
      </c>
      <c r="D114" s="46" t="s">
        <v>7</v>
      </c>
      <c r="E114" s="47"/>
      <c r="F114" s="47">
        <f t="shared" si="11"/>
        <v>0</v>
      </c>
      <c r="G114" s="456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</row>
    <row r="115" spans="1:47" s="12" customFormat="1" ht="45">
      <c r="A115" s="455">
        <f t="shared" si="12"/>
        <v>7.0399999999999991</v>
      </c>
      <c r="B115" s="44" t="s">
        <v>187</v>
      </c>
      <c r="C115" s="45">
        <v>82</v>
      </c>
      <c r="D115" s="46" t="s">
        <v>7</v>
      </c>
      <c r="E115" s="47"/>
      <c r="F115" s="47">
        <f t="shared" ref="F115:F117" si="13">C115*E115</f>
        <v>0</v>
      </c>
      <c r="G115" s="456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</row>
    <row r="116" spans="1:47" s="12" customFormat="1" ht="30">
      <c r="A116" s="455">
        <f t="shared" si="12"/>
        <v>7.0499999999999989</v>
      </c>
      <c r="B116" s="44" t="s">
        <v>188</v>
      </c>
      <c r="C116" s="45">
        <v>1</v>
      </c>
      <c r="D116" s="46" t="s">
        <v>7</v>
      </c>
      <c r="E116" s="47"/>
      <c r="F116" s="47">
        <f t="shared" si="13"/>
        <v>0</v>
      </c>
      <c r="G116" s="456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</row>
    <row r="117" spans="1:47" s="12" customFormat="1" ht="60">
      <c r="A117" s="455">
        <f t="shared" si="12"/>
        <v>7.0599999999999987</v>
      </c>
      <c r="B117" s="44" t="s">
        <v>533</v>
      </c>
      <c r="C117" s="45">
        <v>1</v>
      </c>
      <c r="D117" s="46" t="s">
        <v>107</v>
      </c>
      <c r="E117" s="47"/>
      <c r="F117" s="47">
        <f t="shared" si="13"/>
        <v>0</v>
      </c>
      <c r="G117" s="457">
        <f>SUM(F112:F117)</f>
        <v>0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</row>
    <row r="118" spans="1:47" s="12" customFormat="1" ht="15">
      <c r="A118" s="455"/>
      <c r="B118" s="511"/>
      <c r="C118" s="548"/>
      <c r="D118" s="513"/>
      <c r="E118" s="539"/>
      <c r="F118" s="539"/>
      <c r="G118" s="457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</row>
    <row r="119" spans="1:47" ht="16.5" customHeight="1">
      <c r="A119" s="453">
        <f>1+A111</f>
        <v>8</v>
      </c>
      <c r="B119" s="53" t="s">
        <v>108</v>
      </c>
      <c r="C119" s="434"/>
      <c r="D119" s="434"/>
      <c r="E119" s="434"/>
      <c r="F119" s="434"/>
      <c r="G119" s="454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1:47" s="12" customFormat="1" ht="118.5" customHeight="1">
      <c r="A120" s="455">
        <f>+A119+0.01</f>
        <v>8.01</v>
      </c>
      <c r="B120" s="44" t="s">
        <v>202</v>
      </c>
      <c r="C120" s="45">
        <f>0.1*362.52</f>
        <v>36.252000000000002</v>
      </c>
      <c r="D120" s="46" t="s">
        <v>20</v>
      </c>
      <c r="E120" s="47"/>
      <c r="F120" s="47">
        <f t="shared" ref="F120:F122" si="14">+E120*C120</f>
        <v>0</v>
      </c>
      <c r="G120" s="456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</row>
    <row r="121" spans="1:47" s="12" customFormat="1" ht="105">
      <c r="A121" s="455">
        <f>+A120+0.01</f>
        <v>8.02</v>
      </c>
      <c r="B121" s="44" t="s">
        <v>109</v>
      </c>
      <c r="C121" s="45">
        <f>0.1*176.48</f>
        <v>17.648</v>
      </c>
      <c r="D121" s="46" t="s">
        <v>110</v>
      </c>
      <c r="E121" s="47"/>
      <c r="F121" s="47">
        <f t="shared" si="14"/>
        <v>0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</row>
    <row r="122" spans="1:47" s="12" customFormat="1" ht="30">
      <c r="A122" s="455">
        <f>+A121+0.01</f>
        <v>8.0299999999999994</v>
      </c>
      <c r="B122" s="511" t="s">
        <v>678</v>
      </c>
      <c r="C122" s="548">
        <f>0.1*243.38</f>
        <v>24.338000000000001</v>
      </c>
      <c r="D122" s="513" t="s">
        <v>8</v>
      </c>
      <c r="E122" s="539"/>
      <c r="F122" s="47">
        <f t="shared" si="14"/>
        <v>0</v>
      </c>
      <c r="G122" s="457">
        <f>SUM(F120:F122)</f>
        <v>0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</row>
    <row r="123" spans="1:47" s="12" customFormat="1" ht="15">
      <c r="A123" s="455"/>
      <c r="B123" s="44"/>
      <c r="C123" s="45"/>
      <c r="D123" s="46"/>
      <c r="E123" s="45"/>
      <c r="F123" s="47"/>
      <c r="G123" s="456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</row>
    <row r="124" spans="1:47" ht="16.5" customHeight="1">
      <c r="A124" s="453">
        <v>9</v>
      </c>
      <c r="B124" s="53" t="s">
        <v>161</v>
      </c>
      <c r="C124" s="41"/>
      <c r="D124" s="42"/>
      <c r="E124" s="43"/>
      <c r="F124" s="434"/>
      <c r="G124" s="45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47" s="12" customFormat="1" ht="15">
      <c r="A125" s="455">
        <f>+A124+0.01</f>
        <v>9.01</v>
      </c>
      <c r="B125" s="44" t="s">
        <v>162</v>
      </c>
      <c r="C125" s="45">
        <v>2</v>
      </c>
      <c r="D125" s="46" t="s">
        <v>17</v>
      </c>
      <c r="E125" s="47"/>
      <c r="F125" s="47">
        <f t="shared" ref="F125:F141" si="15">ROUND(C125*E125,2)</f>
        <v>0</v>
      </c>
      <c r="G125" s="456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</row>
    <row r="126" spans="1:47" s="12" customFormat="1" ht="15">
      <c r="A126" s="455">
        <f>+A125+0.01</f>
        <v>9.02</v>
      </c>
      <c r="B126" s="44" t="s">
        <v>163</v>
      </c>
      <c r="C126" s="45">
        <v>3</v>
      </c>
      <c r="D126" s="46" t="s">
        <v>17</v>
      </c>
      <c r="E126" s="47"/>
      <c r="F126" s="47">
        <f t="shared" si="15"/>
        <v>0</v>
      </c>
      <c r="G126" s="456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</row>
    <row r="127" spans="1:47" s="12" customFormat="1" ht="15">
      <c r="A127" s="455">
        <f t="shared" ref="A127:A141" si="16">+A126+0.01</f>
        <v>9.0299999999999994</v>
      </c>
      <c r="B127" s="44" t="s">
        <v>164</v>
      </c>
      <c r="C127" s="45">
        <v>5</v>
      </c>
      <c r="D127" s="46" t="s">
        <v>17</v>
      </c>
      <c r="E127" s="47"/>
      <c r="F127" s="47">
        <f t="shared" si="15"/>
        <v>0</v>
      </c>
      <c r="G127" s="456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</row>
    <row r="128" spans="1:47" s="12" customFormat="1" ht="15">
      <c r="A128" s="455">
        <f t="shared" si="16"/>
        <v>9.0399999999999991</v>
      </c>
      <c r="B128" s="44" t="s">
        <v>165</v>
      </c>
      <c r="C128" s="45">
        <v>6</v>
      </c>
      <c r="D128" s="46" t="s">
        <v>17</v>
      </c>
      <c r="E128" s="47"/>
      <c r="F128" s="47">
        <f t="shared" si="15"/>
        <v>0</v>
      </c>
      <c r="G128" s="456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</row>
    <row r="129" spans="1:47" s="12" customFormat="1" ht="15">
      <c r="A129" s="455">
        <f t="shared" si="16"/>
        <v>9.0499999999999989</v>
      </c>
      <c r="B129" s="44" t="s">
        <v>166</v>
      </c>
      <c r="C129" s="45">
        <v>90</v>
      </c>
      <c r="D129" s="46" t="s">
        <v>167</v>
      </c>
      <c r="E129" s="47"/>
      <c r="F129" s="47">
        <f t="shared" si="15"/>
        <v>0</v>
      </c>
      <c r="G129" s="456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</row>
    <row r="130" spans="1:47" s="12" customFormat="1" ht="15">
      <c r="A130" s="455">
        <f t="shared" si="16"/>
        <v>9.0599999999999987</v>
      </c>
      <c r="B130" s="44" t="s">
        <v>168</v>
      </c>
      <c r="C130" s="45">
        <v>20</v>
      </c>
      <c r="D130" s="46" t="s">
        <v>167</v>
      </c>
      <c r="E130" s="47"/>
      <c r="F130" s="47">
        <f t="shared" si="15"/>
        <v>0</v>
      </c>
      <c r="G130" s="456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</row>
    <row r="131" spans="1:47" s="12" customFormat="1" ht="15">
      <c r="A131" s="455">
        <f t="shared" si="16"/>
        <v>9.0699999999999985</v>
      </c>
      <c r="B131" s="44" t="s">
        <v>169</v>
      </c>
      <c r="C131" s="45">
        <v>30</v>
      </c>
      <c r="D131" s="46" t="s">
        <v>167</v>
      </c>
      <c r="E131" s="47"/>
      <c r="F131" s="47">
        <f t="shared" si="15"/>
        <v>0</v>
      </c>
      <c r="G131" s="456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</row>
    <row r="132" spans="1:47" s="12" customFormat="1" ht="15">
      <c r="A132" s="455">
        <f t="shared" si="16"/>
        <v>9.0799999999999983</v>
      </c>
      <c r="B132" s="44" t="s">
        <v>170</v>
      </c>
      <c r="C132" s="45">
        <v>20</v>
      </c>
      <c r="D132" s="46" t="s">
        <v>167</v>
      </c>
      <c r="E132" s="47"/>
      <c r="F132" s="47">
        <f t="shared" si="15"/>
        <v>0</v>
      </c>
      <c r="G132" s="456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</row>
    <row r="133" spans="1:47" s="12" customFormat="1" ht="15">
      <c r="A133" s="455">
        <f t="shared" si="16"/>
        <v>9.0899999999999981</v>
      </c>
      <c r="B133" s="44" t="s">
        <v>171</v>
      </c>
      <c r="C133" s="45">
        <v>5000</v>
      </c>
      <c r="D133" s="46" t="s">
        <v>167</v>
      </c>
      <c r="E133" s="47"/>
      <c r="F133" s="47">
        <f t="shared" si="15"/>
        <v>0</v>
      </c>
      <c r="G133" s="456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</row>
    <row r="134" spans="1:47" s="12" customFormat="1" ht="15">
      <c r="A134" s="455">
        <f t="shared" si="16"/>
        <v>9.0999999999999979</v>
      </c>
      <c r="B134" s="44" t="s">
        <v>172</v>
      </c>
      <c r="C134" s="45">
        <v>2</v>
      </c>
      <c r="D134" s="46" t="s">
        <v>17</v>
      </c>
      <c r="E134" s="47"/>
      <c r="F134" s="47">
        <f t="shared" si="15"/>
        <v>0</v>
      </c>
      <c r="G134" s="456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</row>
    <row r="135" spans="1:47" s="12" customFormat="1" ht="15">
      <c r="A135" s="455">
        <f t="shared" si="16"/>
        <v>9.1099999999999977</v>
      </c>
      <c r="B135" s="44" t="s">
        <v>173</v>
      </c>
      <c r="C135" s="45">
        <v>1</v>
      </c>
      <c r="D135" s="46" t="s">
        <v>17</v>
      </c>
      <c r="E135" s="47"/>
      <c r="F135" s="47">
        <f t="shared" si="15"/>
        <v>0</v>
      </c>
      <c r="G135" s="456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</row>
    <row r="136" spans="1:47" s="12" customFormat="1" ht="15">
      <c r="A136" s="455">
        <f t="shared" si="16"/>
        <v>9.1199999999999974</v>
      </c>
      <c r="B136" s="44" t="s">
        <v>174</v>
      </c>
      <c r="C136" s="45">
        <v>2</v>
      </c>
      <c r="D136" s="46" t="s">
        <v>17</v>
      </c>
      <c r="E136" s="47"/>
      <c r="F136" s="47">
        <f t="shared" si="15"/>
        <v>0</v>
      </c>
      <c r="G136" s="456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</row>
    <row r="137" spans="1:47" s="12" customFormat="1" ht="15">
      <c r="A137" s="455">
        <f t="shared" si="16"/>
        <v>9.1299999999999972</v>
      </c>
      <c r="B137" s="44" t="s">
        <v>175</v>
      </c>
      <c r="C137" s="45">
        <v>35</v>
      </c>
      <c r="D137" s="46" t="s">
        <v>17</v>
      </c>
      <c r="E137" s="47"/>
      <c r="F137" s="47">
        <f t="shared" si="15"/>
        <v>0</v>
      </c>
      <c r="G137" s="456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</row>
    <row r="138" spans="1:47" s="12" customFormat="1" ht="15">
      <c r="A138" s="455">
        <f t="shared" si="16"/>
        <v>9.139999999999997</v>
      </c>
      <c r="B138" s="44" t="s">
        <v>176</v>
      </c>
      <c r="C138" s="45">
        <v>1</v>
      </c>
      <c r="D138" s="46" t="s">
        <v>17</v>
      </c>
      <c r="E138" s="47"/>
      <c r="F138" s="47">
        <f t="shared" si="15"/>
        <v>0</v>
      </c>
      <c r="G138" s="456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</row>
    <row r="139" spans="1:47" s="12" customFormat="1" ht="15">
      <c r="A139" s="455">
        <f t="shared" si="16"/>
        <v>9.1499999999999968</v>
      </c>
      <c r="B139" s="44" t="s">
        <v>177</v>
      </c>
      <c r="C139" s="45">
        <v>35</v>
      </c>
      <c r="D139" s="46" t="s">
        <v>17</v>
      </c>
      <c r="E139" s="47"/>
      <c r="F139" s="47">
        <f t="shared" si="15"/>
        <v>0</v>
      </c>
      <c r="G139" s="456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</row>
    <row r="140" spans="1:47" s="12" customFormat="1" ht="45">
      <c r="A140" s="455">
        <f t="shared" si="16"/>
        <v>9.1599999999999966</v>
      </c>
      <c r="B140" s="44" t="s">
        <v>178</v>
      </c>
      <c r="C140" s="45">
        <v>1</v>
      </c>
      <c r="D140" s="46" t="s">
        <v>595</v>
      </c>
      <c r="E140" s="47"/>
      <c r="F140" s="47">
        <f t="shared" si="15"/>
        <v>0</v>
      </c>
      <c r="G140" s="456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</row>
    <row r="141" spans="1:47" s="12" customFormat="1" ht="15">
      <c r="A141" s="455">
        <f t="shared" si="16"/>
        <v>9.1699999999999964</v>
      </c>
      <c r="B141" s="44" t="s">
        <v>179</v>
      </c>
      <c r="C141" s="45">
        <v>1</v>
      </c>
      <c r="D141" s="46" t="s">
        <v>595</v>
      </c>
      <c r="E141" s="47"/>
      <c r="F141" s="47">
        <f t="shared" si="15"/>
        <v>0</v>
      </c>
      <c r="G141" s="457">
        <f>SUM(F125:F141)</f>
        <v>0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</row>
    <row r="142" spans="1:47" s="12" customFormat="1" ht="15">
      <c r="A142" s="455"/>
      <c r="B142" s="511"/>
      <c r="C142" s="548"/>
      <c r="D142" s="513"/>
      <c r="E142" s="539"/>
      <c r="F142" s="539"/>
      <c r="G142" s="457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</row>
    <row r="143" spans="1:47" ht="16.5" customHeight="1">
      <c r="A143" s="453">
        <v>10</v>
      </c>
      <c r="B143" s="53" t="s">
        <v>21</v>
      </c>
      <c r="C143" s="41"/>
      <c r="D143" s="42"/>
      <c r="E143" s="435"/>
      <c r="F143" s="434"/>
      <c r="G143" s="454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s="12" customFormat="1" ht="30">
      <c r="A144" s="455">
        <f>0.01+A143</f>
        <v>10.01</v>
      </c>
      <c r="B144" s="44" t="s">
        <v>666</v>
      </c>
      <c r="C144" s="49">
        <v>4</v>
      </c>
      <c r="D144" s="54" t="s">
        <v>7</v>
      </c>
      <c r="E144" s="433"/>
      <c r="F144" s="47">
        <f t="shared" ref="F144:F153" si="17">+E144*C144</f>
        <v>0</v>
      </c>
      <c r="G144" s="457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</row>
    <row r="145" spans="1:47" s="12" customFormat="1" ht="15">
      <c r="A145" s="455"/>
      <c r="B145" s="470" t="s">
        <v>553</v>
      </c>
      <c r="C145" s="49"/>
      <c r="D145" s="54"/>
      <c r="E145" s="433"/>
      <c r="F145" s="47"/>
      <c r="G145" s="457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</row>
    <row r="146" spans="1:47" s="12" customFormat="1" ht="15">
      <c r="A146" s="455">
        <f>0.01+A144</f>
        <v>10.02</v>
      </c>
      <c r="B146" s="48" t="s">
        <v>480</v>
      </c>
      <c r="C146" s="49">
        <v>57.54</v>
      </c>
      <c r="D146" s="54" t="s">
        <v>8</v>
      </c>
      <c r="E146" s="433"/>
      <c r="F146" s="47">
        <f t="shared" si="17"/>
        <v>0</v>
      </c>
      <c r="G146" s="457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</row>
    <row r="147" spans="1:47" s="12" customFormat="1" ht="45">
      <c r="A147" s="455">
        <f t="shared" ref="A147:A187" si="18">0.01+A146</f>
        <v>10.029999999999999</v>
      </c>
      <c r="B147" s="44" t="s">
        <v>187</v>
      </c>
      <c r="C147" s="49">
        <v>8</v>
      </c>
      <c r="D147" s="54" t="s">
        <v>7</v>
      </c>
      <c r="E147" s="433"/>
      <c r="F147" s="47">
        <f t="shared" si="17"/>
        <v>0</v>
      </c>
      <c r="G147" s="457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</row>
    <row r="148" spans="1:47" s="12" customFormat="1" ht="15">
      <c r="A148" s="455">
        <f t="shared" si="18"/>
        <v>10.039999999999999</v>
      </c>
      <c r="B148" s="44" t="s">
        <v>703</v>
      </c>
      <c r="C148" s="49">
        <v>1</v>
      </c>
      <c r="D148" s="46" t="s">
        <v>7</v>
      </c>
      <c r="E148" s="433"/>
      <c r="F148" s="47">
        <f t="shared" si="17"/>
        <v>0</v>
      </c>
      <c r="G148" s="457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</row>
    <row r="149" spans="1:47" s="12" customFormat="1" ht="15">
      <c r="A149" s="455">
        <f t="shared" si="18"/>
        <v>10.049999999999999</v>
      </c>
      <c r="B149" s="511" t="s">
        <v>704</v>
      </c>
      <c r="C149" s="512">
        <f>2.07*2.8-1.89</f>
        <v>3.9059999999999997</v>
      </c>
      <c r="D149" s="513" t="s">
        <v>8</v>
      </c>
      <c r="E149" s="514"/>
      <c r="F149" s="47">
        <f t="shared" si="17"/>
        <v>0</v>
      </c>
      <c r="G149" s="457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</row>
    <row r="150" spans="1:47" s="12" customFormat="1" ht="15">
      <c r="A150" s="455">
        <f t="shared" si="18"/>
        <v>10.059999999999999</v>
      </c>
      <c r="B150" s="511" t="s">
        <v>708</v>
      </c>
      <c r="C150" s="512">
        <v>1</v>
      </c>
      <c r="D150" s="513" t="s">
        <v>709</v>
      </c>
      <c r="E150" s="514"/>
      <c r="F150" s="47">
        <f t="shared" si="17"/>
        <v>0</v>
      </c>
      <c r="G150" s="457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</row>
    <row r="151" spans="1:47" s="12" customFormat="1" ht="15">
      <c r="A151" s="455">
        <f t="shared" si="18"/>
        <v>10.069999999999999</v>
      </c>
      <c r="B151" s="511" t="s">
        <v>706</v>
      </c>
      <c r="C151" s="512">
        <v>3</v>
      </c>
      <c r="D151" s="513" t="s">
        <v>74</v>
      </c>
      <c r="E151" s="514"/>
      <c r="F151" s="47">
        <f t="shared" si="17"/>
        <v>0</v>
      </c>
      <c r="G151" s="457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</row>
    <row r="152" spans="1:47" s="12" customFormat="1" ht="15">
      <c r="A152" s="455">
        <f t="shared" si="18"/>
        <v>10.079999999999998</v>
      </c>
      <c r="B152" s="511" t="s">
        <v>707</v>
      </c>
      <c r="C152" s="512">
        <f>2.07*4.25-0.9*2.1</f>
        <v>6.9074999999999989</v>
      </c>
      <c r="D152" s="513" t="s">
        <v>8</v>
      </c>
      <c r="E152" s="47"/>
      <c r="F152" s="47">
        <f t="shared" si="17"/>
        <v>0</v>
      </c>
      <c r="G152" s="457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</row>
    <row r="153" spans="1:47" s="12" customFormat="1" ht="15">
      <c r="A153" s="455">
        <f t="shared" si="18"/>
        <v>10.089999999999998</v>
      </c>
      <c r="B153" s="511" t="s">
        <v>705</v>
      </c>
      <c r="C153" s="512">
        <v>1</v>
      </c>
      <c r="D153" s="513" t="s">
        <v>7</v>
      </c>
      <c r="E153" s="514"/>
      <c r="F153" s="47">
        <f t="shared" si="17"/>
        <v>0</v>
      </c>
      <c r="G153" s="457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</row>
    <row r="154" spans="1:47" s="12" customFormat="1" ht="15">
      <c r="A154" s="455">
        <f t="shared" si="18"/>
        <v>10.099999999999998</v>
      </c>
      <c r="B154" s="44" t="s">
        <v>426</v>
      </c>
      <c r="C154" s="49">
        <f>123+2*6.91</f>
        <v>136.82</v>
      </c>
      <c r="D154" s="46" t="s">
        <v>8</v>
      </c>
      <c r="E154" s="433"/>
      <c r="F154" s="47">
        <f t="shared" ref="F154" si="19">+E154*C154</f>
        <v>0</v>
      </c>
      <c r="G154" s="457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</row>
    <row r="155" spans="1:47" s="12" customFormat="1" ht="15">
      <c r="A155" s="455">
        <f t="shared" si="18"/>
        <v>10.109999999999998</v>
      </c>
      <c r="B155" s="511"/>
      <c r="C155" s="512"/>
      <c r="D155" s="513"/>
      <c r="E155" s="514"/>
      <c r="F155" s="539"/>
      <c r="G155" s="457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</row>
    <row r="156" spans="1:47" s="12" customFormat="1" ht="15">
      <c r="A156" s="455">
        <f t="shared" si="18"/>
        <v>10.119999999999997</v>
      </c>
      <c r="B156" s="470" t="s">
        <v>576</v>
      </c>
      <c r="C156" s="49"/>
      <c r="D156" s="46"/>
      <c r="E156" s="433"/>
      <c r="F156" s="47"/>
      <c r="G156" s="457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</row>
    <row r="157" spans="1:47" s="12" customFormat="1" ht="30">
      <c r="A157" s="455">
        <f t="shared" si="18"/>
        <v>10.129999999999997</v>
      </c>
      <c r="B157" s="44" t="s">
        <v>606</v>
      </c>
      <c r="C157" s="49">
        <v>200</v>
      </c>
      <c r="D157" s="46" t="s">
        <v>42</v>
      </c>
      <c r="E157" s="433"/>
      <c r="F157" s="47">
        <f t="shared" ref="F157:F166" si="20">+E157*C157</f>
        <v>0</v>
      </c>
      <c r="G157" s="457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</row>
    <row r="158" spans="1:47" s="12" customFormat="1" ht="60">
      <c r="A158" s="455">
        <f t="shared" si="18"/>
        <v>10.139999999999997</v>
      </c>
      <c r="B158" s="44" t="s">
        <v>598</v>
      </c>
      <c r="C158" s="49">
        <v>1</v>
      </c>
      <c r="D158" s="46" t="s">
        <v>7</v>
      </c>
      <c r="E158" s="433"/>
      <c r="F158" s="47">
        <f t="shared" si="20"/>
        <v>0</v>
      </c>
      <c r="G158" s="457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</row>
    <row r="159" spans="1:47" s="12" customFormat="1" ht="30">
      <c r="A159" s="455">
        <f t="shared" si="18"/>
        <v>10.149999999999997</v>
      </c>
      <c r="B159" s="511" t="s">
        <v>688</v>
      </c>
      <c r="C159" s="512">
        <v>1</v>
      </c>
      <c r="D159" s="513" t="s">
        <v>7</v>
      </c>
      <c r="E159" s="514"/>
      <c r="F159" s="47">
        <f t="shared" si="20"/>
        <v>0</v>
      </c>
      <c r="G159" s="457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</row>
    <row r="160" spans="1:47" s="12" customFormat="1" ht="45">
      <c r="A160" s="455">
        <f t="shared" si="18"/>
        <v>10.159999999999997</v>
      </c>
      <c r="B160" s="511" t="s">
        <v>608</v>
      </c>
      <c r="C160" s="512">
        <v>1</v>
      </c>
      <c r="D160" s="513" t="s">
        <v>7</v>
      </c>
      <c r="E160" s="514"/>
      <c r="F160" s="47">
        <f t="shared" si="20"/>
        <v>0</v>
      </c>
      <c r="G160" s="457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</row>
    <row r="161" spans="1:47" s="12" customFormat="1" ht="30">
      <c r="A161" s="455">
        <f t="shared" si="18"/>
        <v>10.169999999999996</v>
      </c>
      <c r="B161" s="44" t="s">
        <v>592</v>
      </c>
      <c r="C161" s="49">
        <v>1</v>
      </c>
      <c r="D161" s="46" t="s">
        <v>595</v>
      </c>
      <c r="E161" s="433"/>
      <c r="F161" s="47">
        <f t="shared" si="20"/>
        <v>0</v>
      </c>
      <c r="G161" s="457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</row>
    <row r="162" spans="1:47" s="12" customFormat="1" ht="15">
      <c r="A162" s="455">
        <f t="shared" si="18"/>
        <v>10.179999999999996</v>
      </c>
      <c r="B162" s="44" t="s">
        <v>594</v>
      </c>
      <c r="C162" s="49">
        <v>1</v>
      </c>
      <c r="D162" s="46" t="s">
        <v>595</v>
      </c>
      <c r="E162" s="433"/>
      <c r="F162" s="47">
        <f t="shared" si="20"/>
        <v>0</v>
      </c>
      <c r="G162" s="457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</row>
    <row r="163" spans="1:47" s="12" customFormat="1" ht="15">
      <c r="A163" s="455">
        <f t="shared" si="18"/>
        <v>10.189999999999996</v>
      </c>
      <c r="B163" s="44" t="s">
        <v>596</v>
      </c>
      <c r="C163" s="49">
        <v>1</v>
      </c>
      <c r="D163" s="46" t="s">
        <v>595</v>
      </c>
      <c r="E163" s="433"/>
      <c r="F163" s="47">
        <f t="shared" si="20"/>
        <v>0</v>
      </c>
      <c r="G163" s="457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</row>
    <row r="164" spans="1:47" s="12" customFormat="1" ht="15">
      <c r="A164" s="455">
        <f t="shared" si="18"/>
        <v>10.199999999999996</v>
      </c>
      <c r="B164" s="44" t="s">
        <v>597</v>
      </c>
      <c r="C164" s="49">
        <v>1</v>
      </c>
      <c r="D164" s="46" t="s">
        <v>595</v>
      </c>
      <c r="E164" s="433"/>
      <c r="F164" s="47">
        <f t="shared" si="20"/>
        <v>0</v>
      </c>
      <c r="G164" s="457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</row>
    <row r="165" spans="1:47" s="12" customFormat="1" ht="30">
      <c r="A165" s="455">
        <f t="shared" si="18"/>
        <v>10.209999999999996</v>
      </c>
      <c r="B165" s="44" t="s">
        <v>548</v>
      </c>
      <c r="C165" s="49">
        <v>1</v>
      </c>
      <c r="D165" s="46" t="s">
        <v>7</v>
      </c>
      <c r="E165" s="433"/>
      <c r="F165" s="47">
        <f t="shared" si="20"/>
        <v>0</v>
      </c>
      <c r="G165" s="457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</row>
    <row r="166" spans="1:47" s="12" customFormat="1" ht="30">
      <c r="A166" s="455">
        <f t="shared" si="18"/>
        <v>10.219999999999995</v>
      </c>
      <c r="B166" s="44" t="s">
        <v>549</v>
      </c>
      <c r="C166" s="49">
        <v>1</v>
      </c>
      <c r="D166" s="46" t="s">
        <v>7</v>
      </c>
      <c r="E166" s="433"/>
      <c r="F166" s="47">
        <f t="shared" si="20"/>
        <v>0</v>
      </c>
      <c r="G166" s="457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</row>
    <row r="167" spans="1:47" s="12" customFormat="1" ht="15">
      <c r="A167" s="455">
        <f t="shared" si="18"/>
        <v>10.229999999999995</v>
      </c>
      <c r="B167" s="511" t="s">
        <v>669</v>
      </c>
      <c r="C167" s="512">
        <v>4</v>
      </c>
      <c r="D167" s="513" t="s">
        <v>7</v>
      </c>
      <c r="E167" s="514"/>
      <c r="F167" s="47">
        <f>+E167*C167</f>
        <v>0</v>
      </c>
      <c r="G167" s="457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</row>
    <row r="168" spans="1:47" s="12" customFormat="1" ht="15">
      <c r="A168" s="455">
        <f t="shared" si="18"/>
        <v>10.239999999999995</v>
      </c>
      <c r="B168" s="511" t="s">
        <v>670</v>
      </c>
      <c r="C168" s="512">
        <v>1</v>
      </c>
      <c r="D168" s="513" t="s">
        <v>7</v>
      </c>
      <c r="E168" s="514"/>
      <c r="F168" s="47">
        <f>+E168*C168</f>
        <v>0</v>
      </c>
      <c r="G168" s="457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</row>
    <row r="169" spans="1:47" s="12" customFormat="1" ht="15">
      <c r="A169" s="455">
        <f t="shared" si="18"/>
        <v>10.249999999999995</v>
      </c>
      <c r="B169" s="511" t="s">
        <v>667</v>
      </c>
      <c r="C169" s="512">
        <v>1</v>
      </c>
      <c r="D169" s="513" t="s">
        <v>7</v>
      </c>
      <c r="E169" s="514"/>
      <c r="F169" s="47">
        <f t="shared" ref="F169:F170" si="21">+E169*C169</f>
        <v>0</v>
      </c>
      <c r="G169" s="457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</row>
    <row r="170" spans="1:47" s="12" customFormat="1" ht="15">
      <c r="A170" s="455">
        <f t="shared" si="18"/>
        <v>10.259999999999994</v>
      </c>
      <c r="B170" s="511" t="s">
        <v>674</v>
      </c>
      <c r="C170" s="512">
        <v>1</v>
      </c>
      <c r="D170" s="513" t="s">
        <v>7</v>
      </c>
      <c r="E170" s="514"/>
      <c r="F170" s="539">
        <f t="shared" si="21"/>
        <v>0</v>
      </c>
      <c r="G170" s="457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</row>
    <row r="171" spans="1:47" s="12" customFormat="1" ht="15">
      <c r="A171" s="455">
        <f t="shared" si="18"/>
        <v>10.269999999999994</v>
      </c>
      <c r="G171" s="457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</row>
    <row r="172" spans="1:47" s="12" customFormat="1" ht="15">
      <c r="A172" s="455">
        <f t="shared" si="18"/>
        <v>10.279999999999994</v>
      </c>
      <c r="B172" s="470" t="s">
        <v>554</v>
      </c>
      <c r="C172" s="49"/>
      <c r="D172" s="46"/>
      <c r="E172" s="433"/>
      <c r="F172" s="47"/>
      <c r="G172" s="457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</row>
    <row r="173" spans="1:47" s="12" customFormat="1" ht="30">
      <c r="A173" s="455">
        <f t="shared" si="18"/>
        <v>10.289999999999994</v>
      </c>
      <c r="B173" s="44" t="s">
        <v>550</v>
      </c>
      <c r="C173" s="49">
        <v>1</v>
      </c>
      <c r="D173" s="46" t="s">
        <v>7</v>
      </c>
      <c r="E173" s="433"/>
      <c r="F173" s="47">
        <f t="shared" ref="F173:F175" si="22">+E173*C173</f>
        <v>0</v>
      </c>
      <c r="G173" s="457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</row>
    <row r="174" spans="1:47" s="12" customFormat="1" ht="30">
      <c r="A174" s="455">
        <f t="shared" si="18"/>
        <v>10.299999999999994</v>
      </c>
      <c r="B174" s="44" t="s">
        <v>551</v>
      </c>
      <c r="C174" s="49">
        <v>1</v>
      </c>
      <c r="D174" s="46" t="s">
        <v>7</v>
      </c>
      <c r="E174" s="433"/>
      <c r="F174" s="47">
        <f t="shared" si="22"/>
        <v>0</v>
      </c>
      <c r="G174" s="457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</row>
    <row r="175" spans="1:47" s="12" customFormat="1" ht="30">
      <c r="A175" s="455">
        <f t="shared" si="18"/>
        <v>10.309999999999993</v>
      </c>
      <c r="B175" s="44" t="s">
        <v>552</v>
      </c>
      <c r="C175" s="49">
        <v>1</v>
      </c>
      <c r="D175" s="46" t="s">
        <v>7</v>
      </c>
      <c r="E175" s="433"/>
      <c r="F175" s="47">
        <f t="shared" si="22"/>
        <v>0</v>
      </c>
      <c r="G175" s="457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</row>
    <row r="176" spans="1:47" s="12" customFormat="1" ht="15">
      <c r="A176" s="455">
        <f t="shared" si="18"/>
        <v>10.319999999999993</v>
      </c>
      <c r="B176" s="470" t="s">
        <v>555</v>
      </c>
      <c r="C176" s="49"/>
      <c r="D176" s="46"/>
      <c r="E176" s="433"/>
      <c r="F176" s="47"/>
      <c r="G176" s="457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</row>
    <row r="177" spans="1:47" s="12" customFormat="1" ht="15">
      <c r="A177" s="455">
        <f t="shared" si="18"/>
        <v>10.329999999999993</v>
      </c>
      <c r="B177" s="44" t="s">
        <v>556</v>
      </c>
      <c r="C177" s="49">
        <f>1.63*2</f>
        <v>3.26</v>
      </c>
      <c r="D177" s="46" t="s">
        <v>8</v>
      </c>
      <c r="E177" s="433"/>
      <c r="F177" s="47">
        <f t="shared" ref="F177:F187" si="23">+E177*C177</f>
        <v>0</v>
      </c>
      <c r="G177" s="457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</row>
    <row r="178" spans="1:47" s="12" customFormat="1" ht="16.95" customHeight="1">
      <c r="A178" s="455">
        <f t="shared" si="18"/>
        <v>10.339999999999993</v>
      </c>
      <c r="B178" s="44" t="s">
        <v>563</v>
      </c>
      <c r="C178" s="49">
        <v>13.38</v>
      </c>
      <c r="D178" s="46" t="s">
        <v>8</v>
      </c>
      <c r="E178" s="433"/>
      <c r="F178" s="47">
        <f t="shared" si="23"/>
        <v>0</v>
      </c>
      <c r="G178" s="457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</row>
    <row r="179" spans="1:47" s="12" customFormat="1" ht="15">
      <c r="A179" s="455">
        <f t="shared" si="18"/>
        <v>10.349999999999993</v>
      </c>
      <c r="B179" s="44" t="s">
        <v>574</v>
      </c>
      <c r="C179" s="49">
        <v>83.76</v>
      </c>
      <c r="D179" s="46" t="s">
        <v>278</v>
      </c>
      <c r="E179" s="433"/>
      <c r="F179" s="47">
        <f t="shared" si="23"/>
        <v>0</v>
      </c>
      <c r="G179" s="457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</row>
    <row r="180" spans="1:47" s="12" customFormat="1" ht="15">
      <c r="A180" s="455">
        <f t="shared" si="18"/>
        <v>10.359999999999992</v>
      </c>
      <c r="B180" s="44" t="s">
        <v>571</v>
      </c>
      <c r="C180" s="49">
        <v>3</v>
      </c>
      <c r="D180" s="46" t="s">
        <v>7</v>
      </c>
      <c r="E180" s="433"/>
      <c r="F180" s="47">
        <f t="shared" si="23"/>
        <v>0</v>
      </c>
      <c r="G180" s="457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</row>
    <row r="181" spans="1:47" s="12" customFormat="1" ht="15">
      <c r="A181" s="455">
        <f t="shared" si="18"/>
        <v>10.369999999999992</v>
      </c>
      <c r="B181" s="44" t="s">
        <v>572</v>
      </c>
      <c r="C181" s="49">
        <v>1</v>
      </c>
      <c r="D181" s="46" t="s">
        <v>7</v>
      </c>
      <c r="E181" s="433"/>
      <c r="F181" s="47">
        <f t="shared" si="23"/>
        <v>0</v>
      </c>
      <c r="G181" s="457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</row>
    <row r="182" spans="1:47" s="12" customFormat="1" ht="15">
      <c r="A182" s="455">
        <f t="shared" si="18"/>
        <v>10.379999999999992</v>
      </c>
      <c r="B182" s="44" t="s">
        <v>573</v>
      </c>
      <c r="C182" s="49">
        <v>4</v>
      </c>
      <c r="D182" s="46" t="s">
        <v>7</v>
      </c>
      <c r="E182" s="433"/>
      <c r="F182" s="47">
        <f t="shared" si="23"/>
        <v>0</v>
      </c>
      <c r="G182" s="457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</row>
    <row r="183" spans="1:47" s="12" customFormat="1" ht="15">
      <c r="A183" s="455">
        <f t="shared" si="18"/>
        <v>10.389999999999992</v>
      </c>
      <c r="B183" s="44" t="s">
        <v>575</v>
      </c>
      <c r="C183" s="49">
        <v>9</v>
      </c>
      <c r="D183" s="46" t="s">
        <v>7</v>
      </c>
      <c r="E183" s="433"/>
      <c r="F183" s="47">
        <f t="shared" si="23"/>
        <v>0</v>
      </c>
      <c r="G183" s="457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</row>
    <row r="184" spans="1:47" s="12" customFormat="1" ht="15">
      <c r="A184" s="455">
        <f t="shared" si="18"/>
        <v>10.399999999999991</v>
      </c>
      <c r="B184" s="511" t="s">
        <v>641</v>
      </c>
      <c r="C184" s="512">
        <v>17</v>
      </c>
      <c r="D184" s="513" t="s">
        <v>7</v>
      </c>
      <c r="E184" s="514"/>
      <c r="F184" s="47">
        <f t="shared" si="23"/>
        <v>0</v>
      </c>
      <c r="G184" s="457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</row>
    <row r="185" spans="1:47" s="12" customFormat="1" ht="15">
      <c r="A185" s="455">
        <f t="shared" si="18"/>
        <v>10.409999999999991</v>
      </c>
      <c r="B185" s="44" t="s">
        <v>648</v>
      </c>
      <c r="C185" s="512">
        <v>3</v>
      </c>
      <c r="D185" s="513" t="s">
        <v>7</v>
      </c>
      <c r="E185" s="514"/>
      <c r="F185" s="47">
        <f t="shared" si="23"/>
        <v>0</v>
      </c>
      <c r="G185" s="457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</row>
    <row r="186" spans="1:47" s="12" customFormat="1" ht="15">
      <c r="A186" s="455">
        <f t="shared" si="18"/>
        <v>10.419999999999991</v>
      </c>
      <c r="B186" s="44" t="s">
        <v>649</v>
      </c>
      <c r="C186" s="512">
        <v>180</v>
      </c>
      <c r="D186" s="513" t="s">
        <v>42</v>
      </c>
      <c r="E186" s="514"/>
      <c r="F186" s="539">
        <f t="shared" si="23"/>
        <v>0</v>
      </c>
      <c r="G186" s="457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</row>
    <row r="187" spans="1:47" s="12" customFormat="1" ht="15">
      <c r="A187" s="455">
        <f t="shared" si="18"/>
        <v>10.429999999999991</v>
      </c>
      <c r="B187" s="511" t="s">
        <v>18</v>
      </c>
      <c r="C187" s="512">
        <v>1</v>
      </c>
      <c r="D187" s="547" t="s">
        <v>7</v>
      </c>
      <c r="E187" s="514"/>
      <c r="F187" s="539">
        <f t="shared" si="23"/>
        <v>0</v>
      </c>
      <c r="G187" s="457">
        <f>SUM(F144:F187)</f>
        <v>0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</row>
    <row r="188" spans="1:47" s="12" customFormat="1" ht="15">
      <c r="A188" s="455"/>
      <c r="B188" s="44"/>
      <c r="C188" s="49"/>
      <c r="D188" s="46"/>
      <c r="E188" s="433"/>
      <c r="F188" s="47"/>
      <c r="G188" s="457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</row>
    <row r="189" spans="1:47" ht="15">
      <c r="A189" s="479"/>
      <c r="B189" s="445" t="s">
        <v>10</v>
      </c>
      <c r="C189" s="446"/>
      <c r="D189" s="446"/>
      <c r="E189" s="447"/>
      <c r="F189" s="447"/>
      <c r="G189" s="480">
        <f>SUM(G20:G188)</f>
        <v>0</v>
      </c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</row>
    <row r="190" spans="1:47" ht="15">
      <c r="A190" s="58"/>
      <c r="B190" s="444" t="s">
        <v>11</v>
      </c>
      <c r="C190" s="23">
        <v>0.1</v>
      </c>
      <c r="D190" s="59"/>
      <c r="E190" s="143"/>
      <c r="F190" s="28"/>
      <c r="G190" s="481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</row>
    <row r="191" spans="1:47" ht="15">
      <c r="A191" s="24"/>
      <c r="B191" s="25" t="s">
        <v>537</v>
      </c>
      <c r="C191" s="26">
        <v>0.04</v>
      </c>
      <c r="D191" s="27"/>
      <c r="E191" s="28"/>
      <c r="F191" s="28"/>
      <c r="G191" s="482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</row>
    <row r="192" spans="1:47" ht="15">
      <c r="A192" s="24"/>
      <c r="B192" s="25" t="s">
        <v>12</v>
      </c>
      <c r="C192" s="26">
        <v>0.02</v>
      </c>
      <c r="D192" s="27"/>
      <c r="E192" s="28"/>
      <c r="F192" s="28"/>
      <c r="G192" s="48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</row>
    <row r="193" spans="1:110" ht="15">
      <c r="A193" s="24"/>
      <c r="B193" s="25" t="s">
        <v>23</v>
      </c>
      <c r="C193" s="26">
        <v>0.04</v>
      </c>
      <c r="D193" s="27"/>
      <c r="E193" s="28"/>
      <c r="F193" s="28"/>
      <c r="G193" s="482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</row>
    <row r="194" spans="1:110" ht="15">
      <c r="A194" s="24"/>
      <c r="B194" s="25" t="s">
        <v>24</v>
      </c>
      <c r="C194" s="26">
        <v>0.01</v>
      </c>
      <c r="D194" s="27"/>
      <c r="E194" s="28"/>
      <c r="F194" s="28"/>
      <c r="G194" s="482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</row>
    <row r="195" spans="1:110" ht="15">
      <c r="A195" s="24"/>
      <c r="B195" s="25" t="s">
        <v>13</v>
      </c>
      <c r="C195" s="57">
        <v>1E-3</v>
      </c>
      <c r="D195" s="27"/>
      <c r="E195" s="28"/>
      <c r="F195" s="28"/>
      <c r="G195" s="482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</row>
    <row r="196" spans="1:110" ht="15">
      <c r="A196" s="24"/>
      <c r="B196" s="25" t="s">
        <v>482</v>
      </c>
      <c r="C196" s="26">
        <v>0.18</v>
      </c>
      <c r="D196" s="27"/>
      <c r="E196" s="28"/>
      <c r="F196" s="28"/>
      <c r="G196" s="482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</row>
    <row r="197" spans="1:110" ht="15.6" thickBot="1">
      <c r="A197" s="139"/>
      <c r="B197" s="140" t="s">
        <v>189</v>
      </c>
      <c r="C197" s="141">
        <v>0.05</v>
      </c>
      <c r="D197" s="142"/>
      <c r="E197" s="143"/>
      <c r="F197" s="143"/>
      <c r="G197" s="483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</row>
    <row r="198" spans="1:110" ht="15.6" thickBot="1">
      <c r="A198" s="33"/>
      <c r="B198" s="34" t="s">
        <v>15</v>
      </c>
      <c r="C198" s="35"/>
      <c r="D198" s="35"/>
      <c r="E198" s="36"/>
      <c r="F198" s="36"/>
      <c r="G198" s="480">
        <f>SUM(E190:E198)</f>
        <v>0</v>
      </c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</row>
    <row r="199" spans="1:110" ht="16.2" thickBot="1">
      <c r="A199" s="55"/>
      <c r="B199" s="484"/>
      <c r="C199" s="485"/>
      <c r="D199" s="486"/>
      <c r="E199" s="487"/>
      <c r="F199" s="487"/>
      <c r="G199" s="56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</row>
    <row r="200" spans="1:110" ht="15.6" thickBot="1">
      <c r="A200" s="29"/>
      <c r="B200" s="30" t="s">
        <v>16</v>
      </c>
      <c r="C200" s="30"/>
      <c r="D200" s="30"/>
      <c r="E200" s="31"/>
      <c r="F200" s="32"/>
      <c r="G200" s="488">
        <f>+G198+G189</f>
        <v>0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</row>
    <row r="201" spans="1:110" s="129" customFormat="1" ht="15.6"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8"/>
      <c r="CE201" s="128"/>
      <c r="CF201" s="128"/>
      <c r="CG201" s="128"/>
      <c r="CH201" s="128"/>
      <c r="CI201" s="128"/>
      <c r="CJ201" s="128"/>
      <c r="CK201" s="128"/>
      <c r="CL201" s="128"/>
      <c r="CM201" s="128"/>
      <c r="CN201" s="128"/>
      <c r="CO201" s="128"/>
      <c r="CP201" s="128"/>
      <c r="CQ201" s="128"/>
      <c r="CR201" s="128"/>
      <c r="CS201" s="128"/>
      <c r="CT201" s="128"/>
      <c r="CU201" s="128"/>
      <c r="CV201" s="128"/>
      <c r="CW201" s="128"/>
      <c r="CX201" s="128"/>
      <c r="CY201" s="128"/>
      <c r="CZ201" s="128"/>
      <c r="DA201" s="128"/>
      <c r="DB201" s="128"/>
      <c r="DC201" s="128"/>
      <c r="DD201" s="128"/>
      <c r="DE201" s="128"/>
      <c r="DF201" s="128"/>
    </row>
    <row r="202" spans="1:110" s="129" customFormat="1" ht="15.6"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8"/>
      <c r="CE202" s="128"/>
      <c r="CF202" s="128"/>
      <c r="CG202" s="128"/>
      <c r="CH202" s="128"/>
      <c r="CI202" s="128"/>
      <c r="CJ202" s="128"/>
      <c r="CK202" s="128"/>
      <c r="CL202" s="128"/>
      <c r="CM202" s="128"/>
      <c r="CN202" s="128"/>
      <c r="CO202" s="128"/>
      <c r="CP202" s="128"/>
      <c r="CQ202" s="128"/>
      <c r="CR202" s="128"/>
      <c r="CS202" s="128"/>
      <c r="CT202" s="128"/>
      <c r="CU202" s="128"/>
      <c r="CV202" s="128"/>
      <c r="CW202" s="128"/>
      <c r="CX202" s="128"/>
      <c r="CY202" s="128"/>
      <c r="CZ202" s="128"/>
      <c r="DA202" s="128"/>
      <c r="DB202" s="128"/>
      <c r="DC202" s="128"/>
      <c r="DD202" s="128"/>
      <c r="DE202" s="128"/>
      <c r="DF202" s="128"/>
    </row>
    <row r="203" spans="1:110" s="129" customFormat="1" ht="15.6">
      <c r="B203" s="579"/>
      <c r="C203" s="579"/>
      <c r="D203" s="579"/>
      <c r="E203" s="579"/>
      <c r="F203" s="579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128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128"/>
      <c r="DC203" s="128"/>
      <c r="DD203" s="128"/>
      <c r="DE203" s="128"/>
      <c r="DF203" s="128"/>
    </row>
    <row r="204" spans="1:110" s="129" customFormat="1" ht="15.6"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8"/>
      <c r="CE204" s="128"/>
      <c r="CF204" s="128"/>
      <c r="CG204" s="128"/>
      <c r="CH204" s="128"/>
      <c r="CI204" s="128"/>
      <c r="CJ204" s="128"/>
      <c r="CK204" s="128"/>
      <c r="CL204" s="128"/>
      <c r="CM204" s="128"/>
      <c r="CN204" s="128"/>
      <c r="CO204" s="128"/>
      <c r="CP204" s="128"/>
      <c r="CQ204" s="128"/>
      <c r="CR204" s="128"/>
      <c r="CS204" s="128"/>
      <c r="CT204" s="128"/>
      <c r="CU204" s="128"/>
      <c r="CV204" s="128"/>
      <c r="CW204" s="128"/>
      <c r="CX204" s="128"/>
      <c r="CY204" s="128"/>
      <c r="CZ204" s="128"/>
      <c r="DA204" s="128"/>
      <c r="DB204" s="128"/>
      <c r="DC204" s="128"/>
      <c r="DD204" s="128"/>
      <c r="DE204" s="128"/>
      <c r="DF204" s="128"/>
    </row>
    <row r="205" spans="1:110" s="129" customFormat="1" ht="15.6"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/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  <c r="BT205" s="128"/>
      <c r="BU205" s="128"/>
      <c r="BV205" s="128"/>
      <c r="BW205" s="128"/>
      <c r="BX205" s="128"/>
      <c r="BY205" s="128"/>
      <c r="BZ205" s="128"/>
      <c r="CA205" s="128"/>
      <c r="CB205" s="128"/>
      <c r="CC205" s="128"/>
      <c r="CD205" s="128"/>
      <c r="CE205" s="128"/>
      <c r="CF205" s="128"/>
      <c r="CG205" s="128"/>
      <c r="CH205" s="128"/>
      <c r="CI205" s="128"/>
      <c r="CJ205" s="128"/>
      <c r="CK205" s="128"/>
      <c r="CL205" s="128"/>
      <c r="CM205" s="128"/>
      <c r="CN205" s="128"/>
      <c r="CO205" s="128"/>
      <c r="CP205" s="128"/>
      <c r="CQ205" s="128"/>
      <c r="CR205" s="128"/>
      <c r="CS205" s="128"/>
      <c r="CT205" s="128"/>
      <c r="CU205" s="128"/>
      <c r="CV205" s="128"/>
      <c r="CW205" s="128"/>
      <c r="CX205" s="128"/>
      <c r="CY205" s="128"/>
      <c r="CZ205" s="128"/>
      <c r="DA205" s="128"/>
      <c r="DB205" s="128"/>
      <c r="DC205" s="128"/>
      <c r="DD205" s="128"/>
      <c r="DE205" s="128"/>
      <c r="DF205" s="128"/>
    </row>
    <row r="206" spans="1:110" s="131" customFormat="1" ht="15">
      <c r="B206" s="575" t="s">
        <v>145</v>
      </c>
      <c r="C206" s="575"/>
      <c r="D206" s="575"/>
      <c r="E206" s="575"/>
      <c r="F206" s="575"/>
      <c r="G206" s="576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  <c r="BQ206" s="130"/>
      <c r="BR206" s="130"/>
      <c r="BS206" s="130"/>
      <c r="BT206" s="130"/>
      <c r="BU206" s="130"/>
      <c r="BV206" s="130"/>
      <c r="BW206" s="130"/>
      <c r="BX206" s="130"/>
      <c r="BY206" s="130"/>
      <c r="BZ206" s="130"/>
      <c r="CA206" s="130"/>
      <c r="CB206" s="130"/>
      <c r="CC206" s="130"/>
      <c r="CD206" s="130"/>
      <c r="CE206" s="130"/>
      <c r="CF206" s="130"/>
      <c r="CG206" s="130"/>
      <c r="CH206" s="130"/>
      <c r="CI206" s="130"/>
      <c r="CJ206" s="130"/>
      <c r="CK206" s="130"/>
      <c r="CL206" s="130"/>
      <c r="CM206" s="130"/>
      <c r="CN206" s="130"/>
      <c r="CO206" s="130"/>
      <c r="CP206" s="130"/>
      <c r="CQ206" s="130"/>
      <c r="CR206" s="130"/>
      <c r="CS206" s="130"/>
      <c r="CT206" s="130"/>
      <c r="CU206" s="130"/>
      <c r="CV206" s="130"/>
      <c r="CW206" s="130"/>
      <c r="CX206" s="130"/>
      <c r="CY206" s="130"/>
      <c r="CZ206" s="130"/>
      <c r="DA206" s="130"/>
      <c r="DB206" s="130"/>
      <c r="DC206" s="130"/>
      <c r="DD206" s="130"/>
      <c r="DE206" s="130"/>
      <c r="DF206" s="130"/>
    </row>
    <row r="207" spans="1:110" s="131" customFormat="1" ht="15" customHeight="1">
      <c r="A207" s="489">
        <v>1</v>
      </c>
      <c r="B207" s="577" t="s">
        <v>541</v>
      </c>
      <c r="C207" s="577"/>
      <c r="D207" s="577"/>
      <c r="E207" s="577"/>
      <c r="F207" s="577"/>
      <c r="G207" s="578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30"/>
      <c r="AK207" s="130"/>
      <c r="AL207" s="130"/>
      <c r="AM207" s="130"/>
      <c r="AN207" s="130"/>
      <c r="AO207" s="130"/>
      <c r="AP207" s="130"/>
      <c r="AQ207" s="130"/>
      <c r="AR207" s="130"/>
      <c r="AS207" s="130"/>
      <c r="AT207" s="130"/>
      <c r="AU207" s="130"/>
      <c r="AV207" s="130"/>
      <c r="AW207" s="130"/>
      <c r="AX207" s="130"/>
      <c r="AY207" s="130"/>
      <c r="AZ207" s="130"/>
      <c r="BA207" s="130"/>
      <c r="BB207" s="130"/>
      <c r="BC207" s="130"/>
      <c r="BD207" s="130"/>
      <c r="BE207" s="130"/>
      <c r="BF207" s="130"/>
      <c r="BG207" s="130"/>
      <c r="BH207" s="130"/>
      <c r="BI207" s="130"/>
      <c r="BJ207" s="130"/>
      <c r="BK207" s="130"/>
      <c r="BL207" s="130"/>
      <c r="BM207" s="130"/>
      <c r="BN207" s="130"/>
      <c r="BO207" s="130"/>
      <c r="BP207" s="130"/>
      <c r="BQ207" s="130"/>
      <c r="BR207" s="130"/>
      <c r="BS207" s="130"/>
      <c r="BT207" s="130"/>
      <c r="BU207" s="130"/>
      <c r="BV207" s="130"/>
      <c r="BW207" s="130"/>
      <c r="BX207" s="130"/>
      <c r="BY207" s="130"/>
      <c r="BZ207" s="130"/>
      <c r="CA207" s="130"/>
      <c r="CB207" s="130"/>
      <c r="CC207" s="130"/>
      <c r="CD207" s="130"/>
      <c r="CE207" s="130"/>
      <c r="CF207" s="130"/>
      <c r="CG207" s="130"/>
      <c r="CH207" s="130"/>
      <c r="CI207" s="130"/>
      <c r="CJ207" s="130"/>
      <c r="CK207" s="130"/>
      <c r="CL207" s="130"/>
      <c r="CM207" s="130"/>
      <c r="CN207" s="130"/>
      <c r="CO207" s="130"/>
      <c r="CP207" s="130"/>
      <c r="CQ207" s="130"/>
      <c r="CR207" s="130"/>
      <c r="CS207" s="130"/>
      <c r="CT207" s="130"/>
      <c r="CU207" s="130"/>
      <c r="CV207" s="130"/>
      <c r="CW207" s="130"/>
      <c r="CX207" s="130"/>
      <c r="CY207" s="130"/>
      <c r="CZ207" s="130"/>
      <c r="DA207" s="130"/>
      <c r="DB207" s="130"/>
      <c r="DC207" s="130"/>
      <c r="DD207" s="130"/>
      <c r="DE207" s="130"/>
      <c r="DF207" s="130"/>
    </row>
    <row r="208" spans="1:110" ht="15">
      <c r="A208" s="489">
        <v>2</v>
      </c>
      <c r="B208" s="577" t="s">
        <v>146</v>
      </c>
      <c r="C208" s="577"/>
      <c r="D208" s="577"/>
      <c r="E208" s="577"/>
      <c r="F208" s="577"/>
      <c r="G208" s="57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</row>
    <row r="209" spans="1:47" ht="15">
      <c r="A209" s="489">
        <v>3</v>
      </c>
      <c r="B209" s="577" t="s">
        <v>536</v>
      </c>
      <c r="C209" s="577"/>
      <c r="D209" s="577"/>
      <c r="E209" s="577"/>
      <c r="F209" s="577"/>
      <c r="G209" s="578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</row>
    <row r="210" spans="1:47" ht="75">
      <c r="A210" s="489">
        <v>4</v>
      </c>
      <c r="B210" s="495" t="s">
        <v>147</v>
      </c>
      <c r="C210" s="495"/>
      <c r="D210" s="495"/>
      <c r="E210" s="495"/>
      <c r="F210" s="495"/>
      <c r="G210" s="496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</row>
    <row r="211" spans="1:47" ht="30">
      <c r="A211" s="489">
        <v>5</v>
      </c>
      <c r="B211" s="495" t="s">
        <v>148</v>
      </c>
      <c r="C211" s="495"/>
      <c r="D211" s="495"/>
      <c r="E211" s="495"/>
      <c r="F211" s="495"/>
      <c r="G211" s="496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</row>
    <row r="212" spans="1:47" ht="15">
      <c r="A212" s="489">
        <v>6</v>
      </c>
      <c r="B212" s="577" t="s">
        <v>538</v>
      </c>
      <c r="C212" s="577"/>
      <c r="D212" s="577"/>
      <c r="E212" s="577"/>
      <c r="F212" s="577"/>
      <c r="G212" s="578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</row>
    <row r="213" spans="1:47" ht="18">
      <c r="A213" s="493"/>
      <c r="B213" s="443"/>
      <c r="C213" s="442"/>
      <c r="D213" s="442"/>
      <c r="E213" s="564"/>
      <c r="F213" s="564"/>
      <c r="G213" s="565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</row>
    <row r="214" spans="1:47" ht="20.399999999999999">
      <c r="A214" s="490"/>
      <c r="B214" s="441"/>
      <c r="C214" s="491"/>
      <c r="D214" s="491"/>
      <c r="E214" s="491"/>
      <c r="F214" s="491"/>
      <c r="G214" s="492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</row>
    <row r="215" spans="1:47" ht="20.399999999999999">
      <c r="A215" s="490"/>
      <c r="B215" s="441"/>
      <c r="C215" s="491"/>
      <c r="D215" s="491"/>
      <c r="E215" s="491"/>
      <c r="F215" s="491"/>
      <c r="G215" s="492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</row>
    <row r="216" spans="1:47" ht="20.399999999999999">
      <c r="A216" s="490"/>
      <c r="B216" s="441"/>
      <c r="C216" s="491"/>
      <c r="D216" s="491"/>
      <c r="E216" s="491"/>
      <c r="F216" s="491"/>
      <c r="G216" s="492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</row>
    <row r="217" spans="1:47" ht="20.399999999999999">
      <c r="A217" s="490"/>
      <c r="B217" s="441"/>
      <c r="C217" s="491"/>
      <c r="D217" s="491"/>
      <c r="E217" s="491"/>
      <c r="F217" s="491"/>
      <c r="G217" s="492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</row>
    <row r="218" spans="1:47" ht="20.399999999999999">
      <c r="A218" s="490"/>
      <c r="B218" s="441"/>
      <c r="C218" s="491"/>
      <c r="D218" s="491"/>
      <c r="E218" s="491"/>
      <c r="F218" s="491"/>
      <c r="G218" s="492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</row>
    <row r="219" spans="1:47" ht="20.399999999999999">
      <c r="A219" s="490"/>
      <c r="B219" s="441"/>
      <c r="C219" s="491"/>
      <c r="D219" s="491"/>
      <c r="E219" s="491"/>
      <c r="F219" s="491"/>
      <c r="G219" s="492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</row>
    <row r="220" spans="1:47" ht="14.4">
      <c r="A220" s="11"/>
      <c r="C220" s="18"/>
      <c r="G220" s="3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</row>
    <row r="221" spans="1:47" ht="14.4">
      <c r="A221" s="11"/>
      <c r="C221" s="18"/>
      <c r="G221" s="3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</row>
    <row r="222" spans="1:47" ht="14.4">
      <c r="A222" s="11"/>
      <c r="C222" s="18"/>
      <c r="G222" s="3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</row>
    <row r="223" spans="1:47" ht="14.4">
      <c r="A223" s="11"/>
      <c r="C223" s="18"/>
      <c r="G223" s="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</row>
    <row r="224" spans="1:47" ht="14.4">
      <c r="A224" s="11"/>
      <c r="C224" s="18"/>
      <c r="G224" s="3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</row>
    <row r="225" spans="1:47" ht="14.4">
      <c r="A225" s="11"/>
      <c r="C225" s="18"/>
      <c r="G225" s="3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</row>
    <row r="226" spans="1:47" ht="14.4">
      <c r="A226" s="11"/>
      <c r="C226" s="18"/>
      <c r="G226" s="3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</row>
    <row r="227" spans="1:47" ht="14.4">
      <c r="A227" s="11"/>
      <c r="C227" s="18"/>
      <c r="G227" s="3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</row>
    <row r="228" spans="1:47" ht="14.4">
      <c r="A228" s="11"/>
      <c r="C228" s="18"/>
      <c r="G228" s="3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</row>
    <row r="229" spans="1:47" ht="14.4">
      <c r="A229" s="11"/>
      <c r="C229" s="18"/>
      <c r="G229" s="3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</row>
    <row r="230" spans="1:47" ht="14.4">
      <c r="A230" s="11"/>
      <c r="C230" s="18"/>
      <c r="G230" s="3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</row>
    <row r="231" spans="1:47" ht="14.4">
      <c r="A231" s="11"/>
      <c r="C231" s="18"/>
      <c r="G231" s="3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</row>
    <row r="232" spans="1:47" ht="14.4">
      <c r="A232" s="11"/>
      <c r="C232" s="18"/>
      <c r="G232" s="3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</row>
    <row r="233" spans="1:47" ht="14.4">
      <c r="A233" s="11"/>
      <c r="C233" s="18"/>
      <c r="G233" s="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</row>
    <row r="234" spans="1:47" ht="14.4">
      <c r="A234" s="11"/>
      <c r="C234" s="18"/>
      <c r="G234" s="3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</row>
    <row r="235" spans="1:47" ht="14.4">
      <c r="A235" s="11"/>
      <c r="C235" s="18"/>
      <c r="G235" s="3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</row>
    <row r="236" spans="1:47" ht="14.4">
      <c r="A236" s="11"/>
      <c r="G236" s="3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</row>
    <row r="237" spans="1:47" ht="14.4">
      <c r="A237" s="11"/>
      <c r="G237" s="3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</row>
    <row r="238" spans="1:47" ht="14.4">
      <c r="A238" s="11"/>
      <c r="G238" s="3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</row>
    <row r="239" spans="1:47" ht="14.4">
      <c r="A239" s="11"/>
      <c r="G239" s="3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</row>
    <row r="240" spans="1:47" ht="14.4">
      <c r="A240" s="11"/>
      <c r="G240" s="3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</row>
    <row r="241" spans="1:47" ht="14.4">
      <c r="A241" s="11"/>
      <c r="G241" s="3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</row>
    <row r="242" spans="1:47" ht="14.4">
      <c r="A242" s="11"/>
      <c r="G242" s="3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</row>
    <row r="243" spans="1:47" ht="14.4">
      <c r="A243" s="11"/>
      <c r="G243" s="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</row>
    <row r="244" spans="1:47" ht="14.4">
      <c r="A244" s="11"/>
      <c r="G244" s="3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</row>
    <row r="245" spans="1:47" ht="14.4">
      <c r="A245" s="11"/>
      <c r="G245" s="3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</row>
    <row r="246" spans="1:47" ht="14.4">
      <c r="A246" s="11"/>
      <c r="G246" s="3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</row>
    <row r="247" spans="1:47" ht="14.4">
      <c r="A247" s="11"/>
      <c r="G247" s="3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</row>
    <row r="248" spans="1:47" ht="14.4">
      <c r="A248" s="11"/>
      <c r="G248" s="3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</row>
    <row r="249" spans="1:47" ht="14.4">
      <c r="A249" s="11"/>
      <c r="G249" s="3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</row>
    <row r="250" spans="1:47" ht="14.4">
      <c r="A250" s="11"/>
      <c r="G250" s="3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</row>
    <row r="251" spans="1:47" ht="14.4">
      <c r="A251" s="11"/>
      <c r="G251" s="3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</row>
    <row r="252" spans="1:47" ht="14.4">
      <c r="A252" s="11"/>
      <c r="G252" s="3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</row>
    <row r="253" spans="1:47" ht="14.4">
      <c r="A253" s="11"/>
      <c r="G253" s="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</row>
    <row r="254" spans="1:47" ht="14.4">
      <c r="A254" s="11"/>
      <c r="G254" s="3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</row>
    <row r="255" spans="1:47">
      <c r="A255" s="11"/>
      <c r="G255" s="3"/>
    </row>
    <row r="256" spans="1:47">
      <c r="A256" s="11"/>
      <c r="G256" s="3"/>
    </row>
    <row r="257" spans="1:7">
      <c r="A257" s="11"/>
      <c r="G257" s="3"/>
    </row>
    <row r="258" spans="1:7">
      <c r="A258" s="11"/>
      <c r="G258" s="3"/>
    </row>
    <row r="259" spans="1:7">
      <c r="A259" s="11"/>
      <c r="G259" s="3"/>
    </row>
    <row r="260" spans="1:7">
      <c r="A260" s="11"/>
      <c r="G260" s="3"/>
    </row>
    <row r="261" spans="1:7">
      <c r="A261" s="11"/>
      <c r="G261" s="3"/>
    </row>
    <row r="262" spans="1:7">
      <c r="A262" s="11"/>
      <c r="G262" s="3"/>
    </row>
    <row r="263" spans="1:7">
      <c r="A263" s="11"/>
      <c r="G263" s="3"/>
    </row>
    <row r="264" spans="1:7">
      <c r="A264" s="11"/>
      <c r="G264" s="3"/>
    </row>
    <row r="265" spans="1:7">
      <c r="A265" s="11"/>
      <c r="G265" s="3"/>
    </row>
    <row r="266" spans="1:7">
      <c r="A266" s="11"/>
      <c r="G266" s="3"/>
    </row>
    <row r="267" spans="1:7">
      <c r="A267" s="11"/>
      <c r="G267" s="3"/>
    </row>
    <row r="268" spans="1:7">
      <c r="A268" s="11"/>
      <c r="G268" s="3"/>
    </row>
    <row r="269" spans="1:7">
      <c r="A269" s="11"/>
      <c r="G269" s="3"/>
    </row>
    <row r="270" spans="1:7">
      <c r="A270" s="11"/>
      <c r="G270" s="3"/>
    </row>
    <row r="271" spans="1:7">
      <c r="A271" s="11"/>
      <c r="G271" s="3"/>
    </row>
    <row r="272" spans="1:7">
      <c r="A272" s="11"/>
      <c r="G272" s="3"/>
    </row>
    <row r="273" spans="1:7">
      <c r="A273" s="11"/>
      <c r="G273" s="3"/>
    </row>
    <row r="274" spans="1:7">
      <c r="A274" s="11"/>
      <c r="G274" s="3"/>
    </row>
    <row r="275" spans="1:7">
      <c r="A275" s="11"/>
      <c r="G275" s="3"/>
    </row>
    <row r="276" spans="1:7">
      <c r="A276" s="11"/>
      <c r="G276" s="3"/>
    </row>
    <row r="277" spans="1:7">
      <c r="A277" s="11"/>
      <c r="G277" s="3"/>
    </row>
    <row r="278" spans="1:7">
      <c r="A278" s="11"/>
      <c r="G278" s="3"/>
    </row>
    <row r="279" spans="1:7">
      <c r="A279" s="11"/>
      <c r="G279" s="3"/>
    </row>
    <row r="280" spans="1:7">
      <c r="A280" s="11"/>
      <c r="G280" s="3"/>
    </row>
    <row r="281" spans="1:7">
      <c r="A281" s="11"/>
      <c r="G281" s="3"/>
    </row>
    <row r="282" spans="1:7">
      <c r="A282" s="11"/>
      <c r="G282" s="3"/>
    </row>
    <row r="283" spans="1:7">
      <c r="A283" s="11"/>
      <c r="G283" s="3"/>
    </row>
    <row r="284" spans="1:7">
      <c r="A284" s="11"/>
      <c r="G284" s="3"/>
    </row>
    <row r="285" spans="1:7">
      <c r="A285" s="11"/>
      <c r="G285" s="3"/>
    </row>
    <row r="286" spans="1:7">
      <c r="A286" s="11"/>
      <c r="G286" s="3"/>
    </row>
    <row r="287" spans="1:7">
      <c r="A287" s="11"/>
      <c r="G287" s="3"/>
    </row>
    <row r="288" spans="1:7">
      <c r="A288" s="11"/>
      <c r="G288" s="3"/>
    </row>
    <row r="289" spans="1:7">
      <c r="A289" s="11"/>
      <c r="G289" s="3"/>
    </row>
    <row r="290" spans="1:7">
      <c r="A290" s="11"/>
      <c r="G290" s="3"/>
    </row>
    <row r="291" spans="1:7">
      <c r="A291" s="11"/>
      <c r="G291" s="3"/>
    </row>
    <row r="292" spans="1:7">
      <c r="A292" s="11"/>
      <c r="G292" s="3"/>
    </row>
    <row r="293" spans="1:7">
      <c r="A293" s="11"/>
      <c r="G293" s="3"/>
    </row>
    <row r="294" spans="1:7">
      <c r="A294" s="11"/>
      <c r="G294" s="3"/>
    </row>
    <row r="295" spans="1:7">
      <c r="A295" s="11"/>
      <c r="G295" s="3"/>
    </row>
    <row r="296" spans="1:7">
      <c r="A296" s="11"/>
      <c r="G296" s="3"/>
    </row>
    <row r="297" spans="1:7">
      <c r="A297" s="11"/>
      <c r="G297" s="3"/>
    </row>
    <row r="298" spans="1:7">
      <c r="A298" s="11"/>
      <c r="G298" s="3"/>
    </row>
    <row r="299" spans="1:7">
      <c r="A299" s="11"/>
      <c r="G299" s="3"/>
    </row>
    <row r="300" spans="1:7">
      <c r="A300" s="11"/>
      <c r="G300" s="3"/>
    </row>
    <row r="301" spans="1:7">
      <c r="A301" s="11"/>
      <c r="G301" s="3"/>
    </row>
    <row r="302" spans="1:7">
      <c r="A302" s="11"/>
      <c r="G302" s="3"/>
    </row>
    <row r="303" spans="1:7">
      <c r="A303" s="11"/>
      <c r="G303" s="3"/>
    </row>
    <row r="304" spans="1:7">
      <c r="A304" s="11"/>
      <c r="G304" s="3"/>
    </row>
    <row r="305" spans="1:7">
      <c r="A305" s="11"/>
      <c r="G305" s="3"/>
    </row>
    <row r="306" spans="1:7">
      <c r="A306" s="11"/>
      <c r="G306" s="3"/>
    </row>
    <row r="307" spans="1:7">
      <c r="A307" s="11"/>
      <c r="G307" s="3"/>
    </row>
    <row r="308" spans="1:7">
      <c r="A308" s="11"/>
      <c r="G308" s="3"/>
    </row>
    <row r="309" spans="1:7">
      <c r="A309" s="11"/>
      <c r="G309" s="3"/>
    </row>
    <row r="310" spans="1:7">
      <c r="A310" s="11"/>
      <c r="G310" s="3"/>
    </row>
    <row r="311" spans="1:7">
      <c r="A311" s="11"/>
      <c r="G311" s="3"/>
    </row>
    <row r="312" spans="1:7">
      <c r="A312" s="11"/>
      <c r="G312" s="3"/>
    </row>
    <row r="313" spans="1:7">
      <c r="A313" s="11"/>
      <c r="G313" s="3"/>
    </row>
    <row r="314" spans="1:7">
      <c r="A314" s="11"/>
      <c r="G314" s="3"/>
    </row>
    <row r="315" spans="1:7">
      <c r="A315" s="11"/>
      <c r="G315" s="3"/>
    </row>
    <row r="316" spans="1:7">
      <c r="A316" s="11"/>
      <c r="G316" s="3"/>
    </row>
    <row r="317" spans="1:7">
      <c r="A317" s="11"/>
      <c r="G317" s="3"/>
    </row>
    <row r="318" spans="1:7">
      <c r="A318" s="11"/>
      <c r="G318" s="3"/>
    </row>
    <row r="319" spans="1:7">
      <c r="A319" s="11"/>
      <c r="G319" s="3"/>
    </row>
    <row r="320" spans="1:7">
      <c r="A320" s="11"/>
      <c r="G320" s="3"/>
    </row>
    <row r="321" spans="1:7">
      <c r="A321" s="11"/>
      <c r="G321" s="3"/>
    </row>
    <row r="322" spans="1:7">
      <c r="A322" s="11"/>
      <c r="G322" s="3"/>
    </row>
    <row r="323" spans="1:7">
      <c r="A323" s="11"/>
      <c r="G323" s="3"/>
    </row>
    <row r="324" spans="1:7">
      <c r="A324" s="11"/>
      <c r="G324" s="3"/>
    </row>
    <row r="325" spans="1:7">
      <c r="A325" s="11"/>
      <c r="G325" s="3"/>
    </row>
    <row r="326" spans="1:7">
      <c r="A326" s="11"/>
      <c r="G326" s="3"/>
    </row>
    <row r="327" spans="1:7">
      <c r="A327" s="11"/>
      <c r="G327" s="3"/>
    </row>
    <row r="328" spans="1:7">
      <c r="A328" s="11"/>
      <c r="G328" s="3"/>
    </row>
    <row r="329" spans="1:7">
      <c r="A329" s="11"/>
      <c r="G329" s="3"/>
    </row>
    <row r="330" spans="1:7">
      <c r="A330" s="11"/>
      <c r="G330" s="3"/>
    </row>
    <row r="331" spans="1:7">
      <c r="A331" s="11"/>
      <c r="G331" s="3"/>
    </row>
    <row r="332" spans="1:7">
      <c r="A332" s="11"/>
      <c r="G332" s="3"/>
    </row>
    <row r="333" spans="1:7">
      <c r="A333" s="11"/>
      <c r="G333" s="3"/>
    </row>
    <row r="334" spans="1:7">
      <c r="A334" s="11"/>
      <c r="G334" s="3"/>
    </row>
    <row r="335" spans="1:7">
      <c r="A335" s="11"/>
      <c r="G335" s="3"/>
    </row>
    <row r="336" spans="1:7">
      <c r="A336" s="11"/>
      <c r="G336" s="3"/>
    </row>
    <row r="337" spans="1:7">
      <c r="A337" s="11"/>
      <c r="G337" s="3"/>
    </row>
    <row r="338" spans="1:7">
      <c r="A338" s="11"/>
      <c r="G338" s="3"/>
    </row>
    <row r="339" spans="1:7">
      <c r="A339" s="11"/>
      <c r="G339" s="3"/>
    </row>
    <row r="340" spans="1:7">
      <c r="A340" s="11"/>
      <c r="G340" s="3"/>
    </row>
    <row r="341" spans="1:7">
      <c r="A341" s="11"/>
      <c r="G341" s="3"/>
    </row>
    <row r="342" spans="1:7">
      <c r="A342" s="11"/>
      <c r="G342" s="3"/>
    </row>
    <row r="343" spans="1:7">
      <c r="A343" s="11"/>
      <c r="G343" s="3"/>
    </row>
    <row r="344" spans="1:7">
      <c r="A344" s="11"/>
      <c r="G344" s="3"/>
    </row>
    <row r="345" spans="1:7">
      <c r="A345" s="11"/>
      <c r="G345" s="3"/>
    </row>
    <row r="346" spans="1:7">
      <c r="A346" s="11"/>
      <c r="G346" s="3"/>
    </row>
    <row r="347" spans="1:7">
      <c r="A347" s="11"/>
      <c r="G347" s="3"/>
    </row>
    <row r="348" spans="1:7">
      <c r="A348" s="11"/>
      <c r="G348" s="3"/>
    </row>
    <row r="349" spans="1:7">
      <c r="A349" s="11"/>
      <c r="G349" s="3"/>
    </row>
    <row r="350" spans="1:7">
      <c r="A350" s="11"/>
      <c r="G350" s="3"/>
    </row>
    <row r="351" spans="1:7">
      <c r="A351" s="11"/>
      <c r="G351" s="3"/>
    </row>
    <row r="352" spans="1:7">
      <c r="A352" s="11"/>
      <c r="G352" s="3"/>
    </row>
    <row r="353" spans="1:7">
      <c r="A353" s="11"/>
      <c r="G353" s="3"/>
    </row>
    <row r="354" spans="1:7">
      <c r="A354" s="11"/>
      <c r="G354" s="3"/>
    </row>
    <row r="355" spans="1:7">
      <c r="A355" s="11"/>
      <c r="G355" s="3"/>
    </row>
    <row r="356" spans="1:7">
      <c r="A356" s="11"/>
      <c r="G356" s="3"/>
    </row>
    <row r="357" spans="1:7">
      <c r="A357" s="11"/>
      <c r="G357" s="3"/>
    </row>
    <row r="358" spans="1:7">
      <c r="A358" s="11"/>
      <c r="G358" s="3"/>
    </row>
    <row r="359" spans="1:7">
      <c r="A359" s="11"/>
      <c r="G359" s="3"/>
    </row>
    <row r="360" spans="1:7">
      <c r="A360" s="11"/>
      <c r="G360" s="3"/>
    </row>
    <row r="361" spans="1:7">
      <c r="A361" s="11"/>
      <c r="G361" s="3"/>
    </row>
    <row r="362" spans="1:7">
      <c r="A362" s="11"/>
      <c r="G362" s="3"/>
    </row>
    <row r="363" spans="1:7">
      <c r="A363" s="11"/>
      <c r="G363" s="3"/>
    </row>
    <row r="364" spans="1:7">
      <c r="A364" s="11"/>
      <c r="G364" s="3"/>
    </row>
    <row r="365" spans="1:7">
      <c r="A365" s="11"/>
      <c r="G365" s="3"/>
    </row>
    <row r="366" spans="1:7">
      <c r="A366" s="11"/>
      <c r="G366" s="3"/>
    </row>
    <row r="367" spans="1:7">
      <c r="A367" s="11"/>
      <c r="G367" s="3"/>
    </row>
    <row r="368" spans="1:7">
      <c r="A368" s="11"/>
      <c r="G368" s="3"/>
    </row>
    <row r="369" spans="1:7">
      <c r="A369" s="11"/>
      <c r="G369" s="3"/>
    </row>
    <row r="370" spans="1:7">
      <c r="A370" s="11"/>
      <c r="G370" s="3"/>
    </row>
    <row r="371" spans="1:7">
      <c r="A371" s="11"/>
      <c r="G371" s="3"/>
    </row>
    <row r="372" spans="1:7">
      <c r="A372" s="11"/>
      <c r="G372" s="3"/>
    </row>
    <row r="373" spans="1:7">
      <c r="A373" s="11"/>
      <c r="G373" s="3"/>
    </row>
    <row r="374" spans="1:7">
      <c r="A374" s="11"/>
      <c r="G374" s="3"/>
    </row>
    <row r="375" spans="1:7">
      <c r="A375" s="11"/>
      <c r="G375" s="3"/>
    </row>
    <row r="376" spans="1:7">
      <c r="A376" s="11"/>
      <c r="G376" s="3"/>
    </row>
    <row r="377" spans="1:7">
      <c r="A377" s="11"/>
      <c r="G377" s="3"/>
    </row>
    <row r="378" spans="1:7">
      <c r="A378" s="11"/>
      <c r="G378" s="3"/>
    </row>
    <row r="379" spans="1:7">
      <c r="A379" s="11"/>
      <c r="G379" s="3"/>
    </row>
    <row r="380" spans="1:7">
      <c r="A380" s="11"/>
      <c r="G380" s="3"/>
    </row>
    <row r="381" spans="1:7">
      <c r="A381" s="11"/>
      <c r="G381" s="3"/>
    </row>
    <row r="382" spans="1:7">
      <c r="A382" s="11"/>
      <c r="G382" s="3"/>
    </row>
    <row r="383" spans="1:7">
      <c r="A383" s="11"/>
      <c r="G383" s="3"/>
    </row>
    <row r="384" spans="1:7">
      <c r="A384" s="11"/>
      <c r="G384" s="3"/>
    </row>
    <row r="385" spans="1:7">
      <c r="A385" s="11"/>
      <c r="G385" s="3"/>
    </row>
    <row r="386" spans="1:7">
      <c r="A386" s="11"/>
      <c r="G386" s="3"/>
    </row>
    <row r="387" spans="1:7">
      <c r="A387" s="11"/>
      <c r="G387" s="3"/>
    </row>
    <row r="388" spans="1:7">
      <c r="A388" s="11"/>
      <c r="G388" s="3"/>
    </row>
    <row r="389" spans="1:7">
      <c r="A389" s="11"/>
      <c r="G389" s="3"/>
    </row>
    <row r="390" spans="1:7">
      <c r="A390" s="11"/>
      <c r="G390" s="3"/>
    </row>
    <row r="391" spans="1:7">
      <c r="A391" s="11"/>
      <c r="G391" s="3"/>
    </row>
    <row r="392" spans="1:7">
      <c r="A392" s="11"/>
      <c r="G392" s="3"/>
    </row>
    <row r="393" spans="1:7">
      <c r="A393" s="11"/>
      <c r="G393" s="3"/>
    </row>
    <row r="394" spans="1:7">
      <c r="A394" s="11"/>
      <c r="G394" s="3"/>
    </row>
    <row r="395" spans="1:7">
      <c r="A395" s="11"/>
      <c r="G395" s="3"/>
    </row>
    <row r="396" spans="1:7">
      <c r="A396" s="11"/>
      <c r="G396" s="3"/>
    </row>
    <row r="397" spans="1:7">
      <c r="A397" s="11"/>
      <c r="G397" s="3"/>
    </row>
    <row r="398" spans="1:7">
      <c r="A398" s="11"/>
      <c r="G398" s="3"/>
    </row>
    <row r="399" spans="1:7">
      <c r="A399" s="11"/>
      <c r="G399" s="3"/>
    </row>
    <row r="400" spans="1:7">
      <c r="A400" s="11"/>
      <c r="G400" s="3"/>
    </row>
    <row r="401" spans="1:7">
      <c r="A401" s="11"/>
      <c r="G401" s="3"/>
    </row>
    <row r="402" spans="1:7">
      <c r="A402" s="11"/>
      <c r="G402" s="3"/>
    </row>
    <row r="403" spans="1:7">
      <c r="A403" s="11"/>
      <c r="G403" s="3"/>
    </row>
    <row r="404" spans="1:7">
      <c r="A404" s="11"/>
      <c r="G404" s="3"/>
    </row>
    <row r="405" spans="1:7">
      <c r="A405" s="11"/>
      <c r="G405" s="3"/>
    </row>
    <row r="406" spans="1:7">
      <c r="A406" s="11"/>
      <c r="G406" s="3"/>
    </row>
    <row r="407" spans="1:7">
      <c r="A407" s="11"/>
      <c r="G407" s="3"/>
    </row>
    <row r="408" spans="1:7">
      <c r="A408" s="11"/>
      <c r="G408" s="3"/>
    </row>
    <row r="409" spans="1:7">
      <c r="A409" s="11"/>
      <c r="G409" s="3"/>
    </row>
    <row r="410" spans="1:7">
      <c r="A410" s="11"/>
      <c r="G410" s="3"/>
    </row>
  </sheetData>
  <protectedRanges>
    <protectedRange sqref="E75 E41 E33:E39" name="Range1_3_1_2"/>
    <protectedRange sqref="E73:E74" name="Range1_3"/>
    <protectedRange sqref="F119 E120:E142" name="Range1_3_2"/>
  </protectedRanges>
  <mergeCells count="13">
    <mergeCell ref="E15:G15"/>
    <mergeCell ref="E14:F14"/>
    <mergeCell ref="E213:G213"/>
    <mergeCell ref="A10:G10"/>
    <mergeCell ref="A11:G11"/>
    <mergeCell ref="C12:G12"/>
    <mergeCell ref="C16:E16"/>
    <mergeCell ref="B206:G206"/>
    <mergeCell ref="B207:G207"/>
    <mergeCell ref="B208:G208"/>
    <mergeCell ref="B209:G209"/>
    <mergeCell ref="B212:G212"/>
    <mergeCell ref="B203:F203"/>
  </mergeCells>
  <printOptions horizontalCentered="1"/>
  <pageMargins left="0.23622047244094499" right="0.23622047244094499" top="0.57999999999999996" bottom="0.57999999999999996" header="0.31496062992126" footer="0.31496062992126"/>
  <pageSetup scale="56" fitToHeight="0" orientation="portrait" r:id="rId1"/>
  <headerFooter alignWithMargins="0">
    <oddFooter>&amp;LPágina &amp;P de &amp;N</oddFooter>
  </headerFooter>
  <rowBreaks count="4" manualBreakCount="4">
    <brk id="55" max="6" man="1"/>
    <brk id="100" max="6" man="1"/>
    <brk id="142" max="6" man="1"/>
    <brk id="200" max="6" man="1"/>
  </rowBreaks>
  <colBreaks count="1" manualBreakCount="1">
    <brk id="1" min="2" max="1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2:I941"/>
  <sheetViews>
    <sheetView view="pageBreakPreview" zoomScale="160" zoomScaleNormal="100" zoomScaleSheetLayoutView="160" workbookViewId="0">
      <selection activeCell="D931" sqref="D931:D937"/>
    </sheetView>
  </sheetViews>
  <sheetFormatPr baseColWidth="10" defaultRowHeight="14.4"/>
  <cols>
    <col min="1" max="1" width="52.109375" customWidth="1"/>
    <col min="2" max="2" width="12.33203125" bestFit="1" customWidth="1"/>
    <col min="3" max="3" width="10.33203125" customWidth="1"/>
    <col min="4" max="4" width="12.88671875" customWidth="1"/>
    <col min="5" max="5" width="13.33203125" customWidth="1"/>
    <col min="6" max="6" width="14" customWidth="1"/>
  </cols>
  <sheetData>
    <row r="12" spans="1:6" ht="21">
      <c r="A12" s="600" t="s">
        <v>144</v>
      </c>
      <c r="B12" s="601"/>
      <c r="C12" s="601"/>
      <c r="D12" s="601"/>
      <c r="E12" s="601"/>
      <c r="F12" s="601"/>
    </row>
    <row r="13" spans="1:6" ht="15" thickBot="1"/>
    <row r="14" spans="1:6" ht="15" thickBot="1">
      <c r="A14" s="580" t="s">
        <v>249</v>
      </c>
      <c r="B14" s="581"/>
      <c r="C14" s="581"/>
      <c r="D14" s="581"/>
      <c r="E14" s="581"/>
      <c r="F14" s="582"/>
    </row>
    <row r="15" spans="1:6" ht="15.6">
      <c r="A15" s="96" t="s">
        <v>29</v>
      </c>
      <c r="B15" s="97" t="s">
        <v>30</v>
      </c>
      <c r="C15" s="98" t="s">
        <v>17</v>
      </c>
      <c r="D15" s="98" t="s">
        <v>31</v>
      </c>
      <c r="E15" s="99" t="s">
        <v>32</v>
      </c>
      <c r="F15" s="77" t="s">
        <v>33</v>
      </c>
    </row>
    <row r="16" spans="1:6">
      <c r="A16" s="100" t="s">
        <v>205</v>
      </c>
      <c r="B16" s="101">
        <v>1</v>
      </c>
      <c r="C16" s="102" t="s">
        <v>107</v>
      </c>
      <c r="D16" s="102">
        <v>1</v>
      </c>
      <c r="E16" s="103"/>
      <c r="F16" s="104">
        <f>+(B16*E16)/D16</f>
        <v>0</v>
      </c>
    </row>
    <row r="17" spans="1:6">
      <c r="A17" s="100"/>
      <c r="B17" s="101"/>
      <c r="C17" s="102"/>
      <c r="D17" s="102"/>
      <c r="E17" s="105" t="s">
        <v>17</v>
      </c>
      <c r="F17" s="106">
        <f>SUM(F16:F16)</f>
        <v>0</v>
      </c>
    </row>
    <row r="18" spans="1:6" ht="15" thickBot="1">
      <c r="A18" s="107"/>
      <c r="B18" s="108"/>
      <c r="C18" s="109"/>
      <c r="D18" s="109"/>
      <c r="E18" s="110"/>
      <c r="F18" s="111"/>
    </row>
    <row r="19" spans="1:6" ht="15" thickBot="1">
      <c r="A19" s="580" t="s">
        <v>258</v>
      </c>
      <c r="B19" s="581"/>
      <c r="C19" s="581"/>
      <c r="D19" s="581"/>
      <c r="E19" s="581"/>
      <c r="F19" s="582"/>
    </row>
    <row r="20" spans="1:6" ht="15.6">
      <c r="A20" s="96" t="s">
        <v>29</v>
      </c>
      <c r="B20" s="97" t="s">
        <v>30</v>
      </c>
      <c r="C20" s="98" t="s">
        <v>17</v>
      </c>
      <c r="D20" s="98" t="s">
        <v>31</v>
      </c>
      <c r="E20" s="99" t="s">
        <v>32</v>
      </c>
      <c r="F20" s="77" t="s">
        <v>33</v>
      </c>
    </row>
    <row r="21" spans="1:6">
      <c r="A21" s="100" t="s">
        <v>205</v>
      </c>
      <c r="B21" s="101">
        <v>1</v>
      </c>
      <c r="C21" s="102" t="s">
        <v>107</v>
      </c>
      <c r="D21" s="102">
        <v>1</v>
      </c>
      <c r="E21" s="103"/>
      <c r="F21" s="104">
        <f>+(B21*E21)/D21</f>
        <v>0</v>
      </c>
    </row>
    <row r="22" spans="1:6">
      <c r="A22" s="100"/>
      <c r="B22" s="101"/>
      <c r="C22" s="102"/>
      <c r="D22" s="102"/>
      <c r="E22" s="105" t="s">
        <v>17</v>
      </c>
      <c r="F22" s="106">
        <f>SUM(F21:F21)</f>
        <v>0</v>
      </c>
    </row>
    <row r="23" spans="1:6" ht="15" thickBot="1">
      <c r="A23" s="107"/>
      <c r="B23" s="108"/>
      <c r="C23" s="109"/>
      <c r="D23" s="109"/>
      <c r="E23" s="110"/>
      <c r="F23" s="111"/>
    </row>
    <row r="24" spans="1:6" ht="15" thickBot="1">
      <c r="A24" s="580" t="s">
        <v>207</v>
      </c>
      <c r="B24" s="581"/>
      <c r="C24" s="581"/>
      <c r="D24" s="581"/>
      <c r="E24" s="581"/>
      <c r="F24" s="582"/>
    </row>
    <row r="25" spans="1:6" ht="15.6">
      <c r="A25" s="96" t="s">
        <v>29</v>
      </c>
      <c r="B25" s="97" t="s">
        <v>30</v>
      </c>
      <c r="C25" s="98" t="s">
        <v>17</v>
      </c>
      <c r="D25" s="98" t="s">
        <v>31</v>
      </c>
      <c r="E25" s="99" t="s">
        <v>32</v>
      </c>
      <c r="F25" s="77" t="s">
        <v>33</v>
      </c>
    </row>
    <row r="26" spans="1:6">
      <c r="A26" s="100" t="s">
        <v>206</v>
      </c>
      <c r="B26" s="101">
        <v>0.5</v>
      </c>
      <c r="C26" s="102" t="s">
        <v>49</v>
      </c>
      <c r="D26" s="102">
        <v>1</v>
      </c>
      <c r="E26" s="103"/>
      <c r="F26" s="104">
        <f>+(B26*E26)/D26</f>
        <v>0</v>
      </c>
    </row>
    <row r="27" spans="1:6">
      <c r="A27" s="100" t="s">
        <v>50</v>
      </c>
      <c r="B27" s="158">
        <v>0.05</v>
      </c>
      <c r="C27" s="102" t="s">
        <v>17</v>
      </c>
      <c r="D27" s="102">
        <v>1</v>
      </c>
      <c r="E27" s="103"/>
      <c r="F27" s="104">
        <f>+(B27*E27)/D27</f>
        <v>0</v>
      </c>
    </row>
    <row r="28" spans="1:6">
      <c r="A28" s="100"/>
      <c r="B28" s="101"/>
      <c r="C28" s="102"/>
      <c r="D28" s="102"/>
      <c r="E28" s="105" t="s">
        <v>17</v>
      </c>
      <c r="F28" s="106">
        <f>SUM(F26:F27)</f>
        <v>0</v>
      </c>
    </row>
    <row r="29" spans="1:6">
      <c r="A29" s="100"/>
      <c r="B29" s="101"/>
      <c r="C29" s="102"/>
      <c r="D29" s="102"/>
      <c r="E29" s="105" t="s">
        <v>14</v>
      </c>
      <c r="F29" s="106">
        <f>+E27*0.18</f>
        <v>0</v>
      </c>
    </row>
    <row r="30" spans="1:6" ht="15" thickBot="1">
      <c r="A30" s="107"/>
      <c r="B30" s="108"/>
      <c r="C30" s="109"/>
      <c r="D30" s="109"/>
      <c r="E30" s="110"/>
      <c r="F30" s="111"/>
    </row>
    <row r="31" spans="1:6" ht="15" thickBot="1">
      <c r="A31" s="580" t="s">
        <v>250</v>
      </c>
      <c r="B31" s="581"/>
      <c r="C31" s="581"/>
      <c r="D31" s="581"/>
      <c r="E31" s="581"/>
      <c r="F31" s="582"/>
    </row>
    <row r="32" spans="1:6" ht="15.6">
      <c r="A32" s="96" t="s">
        <v>29</v>
      </c>
      <c r="B32" s="97" t="s">
        <v>30</v>
      </c>
      <c r="C32" s="98" t="s">
        <v>17</v>
      </c>
      <c r="D32" s="98" t="s">
        <v>31</v>
      </c>
      <c r="E32" s="99" t="s">
        <v>32</v>
      </c>
      <c r="F32" s="77" t="s">
        <v>33</v>
      </c>
    </row>
    <row r="33" spans="1:6">
      <c r="A33" s="100" t="s">
        <v>206</v>
      </c>
      <c r="B33" s="101">
        <v>0.5</v>
      </c>
      <c r="C33" s="102" t="s">
        <v>49</v>
      </c>
      <c r="D33" s="102">
        <v>1</v>
      </c>
      <c r="E33" s="103"/>
      <c r="F33" s="104">
        <f>+(B33*E33)/D33</f>
        <v>0</v>
      </c>
    </row>
    <row r="34" spans="1:6">
      <c r="A34" s="100" t="s">
        <v>50</v>
      </c>
      <c r="B34" s="158">
        <v>0.05</v>
      </c>
      <c r="C34" s="102" t="s">
        <v>17</v>
      </c>
      <c r="D34" s="102">
        <v>1</v>
      </c>
      <c r="E34" s="103"/>
      <c r="F34" s="104">
        <f>+(B34*E34)/D34</f>
        <v>0</v>
      </c>
    </row>
    <row r="35" spans="1:6">
      <c r="A35" s="100"/>
      <c r="B35" s="101"/>
      <c r="C35" s="102"/>
      <c r="D35" s="102"/>
      <c r="E35" s="105" t="s">
        <v>17</v>
      </c>
      <c r="F35" s="106">
        <f>SUM(F33:F34)</f>
        <v>0</v>
      </c>
    </row>
    <row r="36" spans="1:6">
      <c r="A36" s="100"/>
      <c r="B36" s="101"/>
      <c r="C36" s="102"/>
      <c r="D36" s="102"/>
      <c r="E36" s="105" t="s">
        <v>14</v>
      </c>
      <c r="F36" s="106">
        <f>+E34*0.18</f>
        <v>0</v>
      </c>
    </row>
    <row r="37" spans="1:6" ht="15" thickBot="1">
      <c r="A37" s="107"/>
      <c r="B37" s="108"/>
      <c r="C37" s="109"/>
      <c r="D37" s="109"/>
      <c r="E37" s="110"/>
      <c r="F37" s="111"/>
    </row>
    <row r="38" spans="1:6">
      <c r="A38" s="602" t="s">
        <v>57</v>
      </c>
      <c r="B38" s="603"/>
      <c r="C38" s="603"/>
      <c r="D38" s="603"/>
      <c r="E38" s="603"/>
      <c r="F38" s="604"/>
    </row>
    <row r="39" spans="1:6">
      <c r="A39" s="231" t="s">
        <v>259</v>
      </c>
      <c r="B39" s="230"/>
      <c r="C39" s="230"/>
      <c r="D39" s="230"/>
      <c r="E39" s="230"/>
      <c r="F39" s="230"/>
    </row>
    <row r="40" spans="1:6" ht="15.6">
      <c r="A40" s="96" t="s">
        <v>29</v>
      </c>
      <c r="B40" s="97" t="s">
        <v>30</v>
      </c>
      <c r="C40" s="98" t="s">
        <v>17</v>
      </c>
      <c r="D40" s="98" t="s">
        <v>31</v>
      </c>
      <c r="E40" s="99" t="s">
        <v>32</v>
      </c>
      <c r="F40" s="77" t="s">
        <v>33</v>
      </c>
    </row>
    <row r="41" spans="1:6">
      <c r="A41" s="227" t="s">
        <v>236</v>
      </c>
      <c r="B41" s="101">
        <v>1</v>
      </c>
      <c r="C41" s="102" t="s">
        <v>49</v>
      </c>
      <c r="D41" s="102"/>
      <c r="E41" s="151"/>
      <c r="F41" s="104">
        <f>B41*E41</f>
        <v>0</v>
      </c>
    </row>
    <row r="42" spans="1:6" ht="32.4" customHeight="1">
      <c r="A42" s="232" t="s">
        <v>260</v>
      </c>
      <c r="B42" s="101">
        <v>4</v>
      </c>
      <c r="C42" s="102" t="s">
        <v>49</v>
      </c>
      <c r="D42" s="102"/>
      <c r="E42" s="151"/>
      <c r="F42" s="104">
        <f>B42*E42</f>
        <v>0</v>
      </c>
    </row>
    <row r="43" spans="1:6">
      <c r="A43" s="100" t="s">
        <v>50</v>
      </c>
      <c r="B43" s="158">
        <v>0.05</v>
      </c>
      <c r="C43" s="102" t="s">
        <v>17</v>
      </c>
      <c r="D43" s="102"/>
      <c r="E43" s="103"/>
      <c r="F43" s="104">
        <f>E43*B43</f>
        <v>0</v>
      </c>
    </row>
    <row r="44" spans="1:6">
      <c r="A44" s="100"/>
      <c r="B44" s="101"/>
      <c r="C44" s="102"/>
      <c r="D44" s="102"/>
      <c r="E44" s="105" t="s">
        <v>33</v>
      </c>
      <c r="F44" s="106">
        <f>SUM(F41:F43)</f>
        <v>0</v>
      </c>
    </row>
    <row r="45" spans="1:6">
      <c r="A45" s="153"/>
      <c r="B45" s="154"/>
      <c r="C45" s="155"/>
      <c r="D45" s="155"/>
      <c r="E45" s="222"/>
      <c r="F45" s="156">
        <f>F44/160</f>
        <v>0</v>
      </c>
    </row>
    <row r="46" spans="1:6">
      <c r="A46" s="100"/>
      <c r="B46" s="101"/>
      <c r="C46" s="102"/>
      <c r="D46" s="102"/>
      <c r="E46" s="105" t="s">
        <v>14</v>
      </c>
      <c r="F46" s="106">
        <f>+F44*0.18</f>
        <v>0</v>
      </c>
    </row>
    <row r="47" spans="1:6" ht="15" thickBot="1"/>
    <row r="48" spans="1:6" ht="15" thickBot="1">
      <c r="A48" s="591" t="s">
        <v>251</v>
      </c>
      <c r="B48" s="603"/>
      <c r="C48" s="603"/>
      <c r="D48" s="592"/>
      <c r="E48" s="592"/>
      <c r="F48" s="593"/>
    </row>
    <row r="49" spans="1:6">
      <c r="A49" s="225" t="s">
        <v>209</v>
      </c>
      <c r="B49" s="226">
        <v>7.52</v>
      </c>
      <c r="C49" s="226" t="s">
        <v>8</v>
      </c>
      <c r="D49" s="159"/>
      <c r="E49" s="159"/>
      <c r="F49" s="159"/>
    </row>
    <row r="50" spans="1:6" ht="15.6">
      <c r="A50" s="96" t="s">
        <v>29</v>
      </c>
      <c r="B50" s="97" t="s">
        <v>30</v>
      </c>
      <c r="C50" s="98" t="s">
        <v>17</v>
      </c>
      <c r="D50" s="98" t="s">
        <v>31</v>
      </c>
      <c r="E50" s="99" t="s">
        <v>32</v>
      </c>
      <c r="F50" s="77" t="s">
        <v>33</v>
      </c>
    </row>
    <row r="51" spans="1:6">
      <c r="A51" s="227" t="s">
        <v>236</v>
      </c>
      <c r="B51" s="101">
        <v>0.5</v>
      </c>
      <c r="C51" s="102" t="s">
        <v>49</v>
      </c>
      <c r="D51" s="228">
        <v>1</v>
      </c>
      <c r="E51" s="103"/>
      <c r="F51" s="104">
        <f>B51*E51</f>
        <v>0</v>
      </c>
    </row>
    <row r="52" spans="1:6">
      <c r="A52" s="100" t="s">
        <v>51</v>
      </c>
      <c r="B52" s="101">
        <v>1</v>
      </c>
      <c r="C52" s="102" t="s">
        <v>49</v>
      </c>
      <c r="D52" s="102">
        <v>1</v>
      </c>
      <c r="E52" s="151"/>
      <c r="F52" s="104">
        <f>E52*B52/D52</f>
        <v>0</v>
      </c>
    </row>
    <row r="53" spans="1:6">
      <c r="A53" s="100" t="s">
        <v>50</v>
      </c>
      <c r="B53" s="158">
        <v>0.05</v>
      </c>
      <c r="C53" s="102" t="s">
        <v>17</v>
      </c>
      <c r="D53" s="102">
        <v>1</v>
      </c>
      <c r="E53" s="103"/>
      <c r="F53" s="104">
        <f>E53*B53</f>
        <v>0</v>
      </c>
    </row>
    <row r="54" spans="1:6">
      <c r="A54" s="100"/>
      <c r="B54" s="101"/>
      <c r="C54" s="102"/>
      <c r="D54" s="102"/>
      <c r="E54" s="157" t="s">
        <v>33</v>
      </c>
      <c r="F54" s="106">
        <f>SUM(F51:F53)</f>
        <v>0</v>
      </c>
    </row>
    <row r="55" spans="1:6">
      <c r="A55" s="153"/>
      <c r="B55" s="154"/>
      <c r="C55" s="155"/>
      <c r="D55" s="155"/>
      <c r="E55" s="105" t="s">
        <v>17</v>
      </c>
      <c r="F55" s="156">
        <f>F54/B49</f>
        <v>0</v>
      </c>
    </row>
    <row r="56" spans="1:6" ht="15" thickBot="1">
      <c r="A56" s="100"/>
      <c r="B56" s="101"/>
      <c r="C56" s="102"/>
      <c r="D56" s="102"/>
      <c r="E56" s="105" t="s">
        <v>14</v>
      </c>
      <c r="F56" s="106">
        <f>+F54*0.18</f>
        <v>0</v>
      </c>
    </row>
    <row r="57" spans="1:6" ht="15" thickBot="1">
      <c r="A57" s="591" t="s">
        <v>208</v>
      </c>
      <c r="B57" s="592"/>
      <c r="C57" s="592"/>
      <c r="D57" s="592"/>
      <c r="E57" s="592"/>
      <c r="F57" s="593"/>
    </row>
    <row r="58" spans="1:6">
      <c r="A58" s="159" t="s">
        <v>209</v>
      </c>
      <c r="B58" s="159">
        <v>9.26</v>
      </c>
      <c r="C58" s="159" t="s">
        <v>20</v>
      </c>
      <c r="D58" s="159"/>
      <c r="E58" s="159"/>
      <c r="F58" s="159"/>
    </row>
    <row r="59" spans="1:6">
      <c r="A59" s="159" t="s">
        <v>210</v>
      </c>
      <c r="B59" s="159">
        <v>3</v>
      </c>
      <c r="C59" s="159" t="s">
        <v>211</v>
      </c>
      <c r="D59" s="159"/>
      <c r="E59" s="159"/>
      <c r="F59" s="159"/>
    </row>
    <row r="60" spans="1:6" ht="15.6">
      <c r="A60" s="96" t="s">
        <v>29</v>
      </c>
      <c r="B60" s="97" t="s">
        <v>30</v>
      </c>
      <c r="C60" s="98" t="s">
        <v>17</v>
      </c>
      <c r="D60" s="98" t="s">
        <v>31</v>
      </c>
      <c r="E60" s="99" t="s">
        <v>32</v>
      </c>
      <c r="F60" s="77" t="s">
        <v>33</v>
      </c>
    </row>
    <row r="61" spans="1:6">
      <c r="A61" s="227" t="s">
        <v>236</v>
      </c>
      <c r="B61" s="101">
        <v>1</v>
      </c>
      <c r="C61" s="102" t="s">
        <v>49</v>
      </c>
      <c r="D61" s="228"/>
      <c r="E61" s="103"/>
      <c r="F61" s="104">
        <f>B61*E61</f>
        <v>0</v>
      </c>
    </row>
    <row r="62" spans="1:6">
      <c r="A62" s="100" t="s">
        <v>212</v>
      </c>
      <c r="B62" s="152">
        <v>5</v>
      </c>
      <c r="C62" s="102" t="s">
        <v>49</v>
      </c>
      <c r="D62" s="102"/>
      <c r="E62" s="151"/>
      <c r="F62" s="104">
        <f>B62*E62</f>
        <v>0</v>
      </c>
    </row>
    <row r="63" spans="1:6">
      <c r="A63" s="100" t="s">
        <v>50</v>
      </c>
      <c r="B63" s="158">
        <v>0.05</v>
      </c>
      <c r="C63" s="102" t="s">
        <v>17</v>
      </c>
      <c r="D63" s="102"/>
      <c r="E63" s="103"/>
      <c r="F63" s="104">
        <f>E63*B63</f>
        <v>0</v>
      </c>
    </row>
    <row r="64" spans="1:6">
      <c r="A64" s="100"/>
      <c r="B64" s="101"/>
      <c r="C64" s="102"/>
      <c r="D64" s="102"/>
      <c r="E64" s="157" t="s">
        <v>33</v>
      </c>
      <c r="F64" s="106">
        <f>SUM(F62:F63)</f>
        <v>0</v>
      </c>
    </row>
    <row r="65" spans="1:7">
      <c r="A65" s="153"/>
      <c r="B65" s="154"/>
      <c r="C65" s="155"/>
      <c r="D65" s="155"/>
      <c r="E65" s="105" t="s">
        <v>20</v>
      </c>
      <c r="F65" s="156">
        <f>F64/B58</f>
        <v>0</v>
      </c>
    </row>
    <row r="66" spans="1:7" ht="15" thickBot="1">
      <c r="A66" s="100"/>
      <c r="B66" s="101"/>
      <c r="C66" s="102"/>
      <c r="D66" s="102"/>
      <c r="E66" s="105" t="s">
        <v>14</v>
      </c>
      <c r="F66" s="106">
        <f>+F64*0.18</f>
        <v>0</v>
      </c>
    </row>
    <row r="67" spans="1:7" ht="15" thickBot="1">
      <c r="A67" s="591" t="s">
        <v>237</v>
      </c>
      <c r="B67" s="592"/>
      <c r="C67" s="592"/>
      <c r="D67" s="592"/>
      <c r="E67" s="592"/>
      <c r="F67" s="593"/>
    </row>
    <row r="68" spans="1:7">
      <c r="A68" s="159" t="s">
        <v>4</v>
      </c>
      <c r="B68" s="159">
        <v>2</v>
      </c>
      <c r="C68" s="159" t="s">
        <v>7</v>
      </c>
      <c r="D68" s="159"/>
      <c r="E68" s="159"/>
      <c r="F68" s="159"/>
    </row>
    <row r="69" spans="1:7" ht="15.6">
      <c r="A69" s="96" t="s">
        <v>29</v>
      </c>
      <c r="B69" s="97" t="s">
        <v>30</v>
      </c>
      <c r="C69" s="98" t="s">
        <v>17</v>
      </c>
      <c r="D69" s="98" t="s">
        <v>31</v>
      </c>
      <c r="E69" s="99" t="s">
        <v>32</v>
      </c>
      <c r="F69" s="77" t="s">
        <v>33</v>
      </c>
    </row>
    <row r="70" spans="1:7">
      <c r="A70" s="227" t="s">
        <v>238</v>
      </c>
      <c r="B70" s="101">
        <v>1</v>
      </c>
      <c r="C70" s="102" t="s">
        <v>49</v>
      </c>
      <c r="D70" s="228">
        <v>1</v>
      </c>
      <c r="E70" s="103"/>
      <c r="F70" s="104">
        <f>B70*E70</f>
        <v>0</v>
      </c>
    </row>
    <row r="71" spans="1:7">
      <c r="A71" s="107"/>
      <c r="B71" s="108"/>
      <c r="C71" s="109"/>
      <c r="D71" s="109"/>
      <c r="E71" s="157" t="s">
        <v>33</v>
      </c>
      <c r="F71" s="111">
        <f>F70</f>
        <v>0</v>
      </c>
    </row>
    <row r="72" spans="1:7">
      <c r="A72" s="107"/>
      <c r="B72" s="108"/>
      <c r="C72" s="109"/>
      <c r="D72" s="109"/>
      <c r="E72" s="157" t="s">
        <v>32</v>
      </c>
      <c r="F72" s="111">
        <f>F71/B68</f>
        <v>0</v>
      </c>
    </row>
    <row r="73" spans="1:7">
      <c r="A73" s="107"/>
      <c r="B73" s="108"/>
      <c r="C73" s="109"/>
      <c r="D73" s="109"/>
      <c r="E73" s="110"/>
      <c r="F73" s="111"/>
    </row>
    <row r="74" spans="1:7" ht="15.6">
      <c r="A74" s="160" t="s">
        <v>213</v>
      </c>
      <c r="B74" s="161"/>
      <c r="C74" s="162"/>
      <c r="D74" s="163"/>
      <c r="E74" s="164"/>
      <c r="F74" s="165"/>
      <c r="G74" s="95"/>
    </row>
    <row r="75" spans="1:7">
      <c r="A75" s="107"/>
      <c r="B75" s="167"/>
      <c r="C75" s="162"/>
      <c r="D75" s="163"/>
      <c r="E75" s="164"/>
      <c r="F75" s="165"/>
      <c r="G75" s="95"/>
    </row>
    <row r="76" spans="1:7">
      <c r="A76" s="217" t="s">
        <v>29</v>
      </c>
      <c r="B76" s="208" t="s">
        <v>227</v>
      </c>
      <c r="C76" s="208" t="s">
        <v>14</v>
      </c>
      <c r="D76" s="208" t="s">
        <v>33</v>
      </c>
      <c r="E76" s="209"/>
      <c r="F76" s="210"/>
      <c r="G76" s="95"/>
    </row>
    <row r="77" spans="1:7" ht="13.2" customHeight="1">
      <c r="A77" s="218" t="s">
        <v>226</v>
      </c>
      <c r="B77" s="211"/>
      <c r="C77" s="212">
        <f>0.18*B77</f>
        <v>0</v>
      </c>
      <c r="D77" s="213">
        <f>B77+C77</f>
        <v>0</v>
      </c>
      <c r="E77" s="209"/>
      <c r="F77" s="210"/>
      <c r="G77" s="95"/>
    </row>
    <row r="78" spans="1:7" ht="13.2" customHeight="1">
      <c r="A78" s="218" t="s">
        <v>228</v>
      </c>
      <c r="B78" s="211"/>
      <c r="C78" s="212">
        <f t="shared" ref="C78:C82" si="0">0.18*B78</f>
        <v>0</v>
      </c>
      <c r="D78" s="213">
        <f t="shared" ref="D78:D82" si="1">B78+C78</f>
        <v>0</v>
      </c>
      <c r="E78" s="209"/>
      <c r="F78" s="210"/>
      <c r="G78" s="95"/>
    </row>
    <row r="79" spans="1:7" ht="13.2" customHeight="1">
      <c r="A79" s="218" t="s">
        <v>229</v>
      </c>
      <c r="B79" s="211"/>
      <c r="C79" s="212">
        <f t="shared" si="0"/>
        <v>0</v>
      </c>
      <c r="D79" s="213">
        <f t="shared" si="1"/>
        <v>0</v>
      </c>
      <c r="E79" s="209"/>
      <c r="F79" s="210"/>
      <c r="G79" s="95"/>
    </row>
    <row r="80" spans="1:7" ht="13.2" customHeight="1">
      <c r="A80" s="218" t="s">
        <v>230</v>
      </c>
      <c r="B80" s="211"/>
      <c r="C80" s="212">
        <f t="shared" si="0"/>
        <v>0</v>
      </c>
      <c r="D80" s="213">
        <f t="shared" si="1"/>
        <v>0</v>
      </c>
      <c r="E80" s="209"/>
      <c r="F80" s="210"/>
      <c r="G80" s="95"/>
    </row>
    <row r="81" spans="1:7" ht="13.2" customHeight="1">
      <c r="A81" s="218"/>
      <c r="B81" s="211"/>
      <c r="C81" s="212">
        <f t="shared" si="0"/>
        <v>0</v>
      </c>
      <c r="D81" s="213">
        <f t="shared" si="1"/>
        <v>0</v>
      </c>
      <c r="E81" s="209"/>
      <c r="F81" s="210"/>
      <c r="G81" s="95"/>
    </row>
    <row r="82" spans="1:7">
      <c r="A82" s="218"/>
      <c r="B82" s="211"/>
      <c r="C82" s="212">
        <f t="shared" si="0"/>
        <v>0</v>
      </c>
      <c r="D82" s="213">
        <f t="shared" si="1"/>
        <v>0</v>
      </c>
      <c r="E82" s="209"/>
      <c r="F82" s="210"/>
      <c r="G82" s="95"/>
    </row>
    <row r="83" spans="1:7">
      <c r="A83" s="218"/>
      <c r="B83" s="214"/>
      <c r="C83" s="215"/>
      <c r="D83" s="216"/>
      <c r="E83" s="209"/>
      <c r="F83" s="210"/>
      <c r="G83" s="95"/>
    </row>
    <row r="84" spans="1:7" ht="17.399999999999999">
      <c r="A84" s="168" t="s">
        <v>214</v>
      </c>
      <c r="B84" s="169"/>
      <c r="C84" s="169"/>
      <c r="D84" s="170"/>
      <c r="E84" s="164"/>
      <c r="F84" s="165"/>
      <c r="G84" s="95"/>
    </row>
    <row r="85" spans="1:7">
      <c r="A85" s="171" t="s">
        <v>215</v>
      </c>
      <c r="B85" s="172">
        <v>1.0149999999999999</v>
      </c>
      <c r="C85" s="173" t="s">
        <v>74</v>
      </c>
      <c r="D85" s="174"/>
      <c r="E85" s="175">
        <f>0.18*D85</f>
        <v>0</v>
      </c>
      <c r="F85" s="176">
        <f>B85*D85</f>
        <v>0</v>
      </c>
      <c r="G85" s="177">
        <f>B85*E85</f>
        <v>0</v>
      </c>
    </row>
    <row r="86" spans="1:7" ht="15" thickBot="1">
      <c r="A86" s="171" t="s">
        <v>216</v>
      </c>
      <c r="B86" s="172">
        <v>2.5</v>
      </c>
      <c r="C86" s="173" t="s">
        <v>116</v>
      </c>
      <c r="D86" s="173"/>
      <c r="E86" s="175">
        <f>0.18*D86</f>
        <v>0</v>
      </c>
      <c r="F86" s="178">
        <f>B86*D86</f>
        <v>0</v>
      </c>
      <c r="G86" s="179">
        <f>B86*E86</f>
        <v>0</v>
      </c>
    </row>
    <row r="87" spans="1:7" ht="15" thickBot="1">
      <c r="D87" s="163"/>
      <c r="E87" s="164"/>
      <c r="F87" s="180">
        <f>SUM(F85:F86)</f>
        <v>0</v>
      </c>
      <c r="G87" s="180">
        <f>SUM(G85:G86)</f>
        <v>0</v>
      </c>
    </row>
    <row r="88" spans="1:7">
      <c r="A88" s="181" t="s">
        <v>217</v>
      </c>
      <c r="B88" s="182">
        <f>F87+G87</f>
        <v>0</v>
      </c>
      <c r="D88" s="163"/>
      <c r="E88" s="164"/>
      <c r="F88" s="165"/>
      <c r="G88" s="165"/>
    </row>
    <row r="89" spans="1:7">
      <c r="A89" s="168" t="s">
        <v>218</v>
      </c>
      <c r="D89" s="163"/>
      <c r="E89" s="164"/>
      <c r="F89" s="165"/>
      <c r="G89" s="95"/>
    </row>
    <row r="90" spans="1:7">
      <c r="A90" s="171" t="s">
        <v>219</v>
      </c>
      <c r="B90" s="183">
        <v>1.06</v>
      </c>
      <c r="C90" s="174" t="s">
        <v>74</v>
      </c>
      <c r="D90" s="174"/>
      <c r="E90" s="175">
        <f>G87</f>
        <v>0</v>
      </c>
      <c r="F90" s="176">
        <f>B90*D90</f>
        <v>0</v>
      </c>
      <c r="G90" s="177">
        <f>B90*E90</f>
        <v>0</v>
      </c>
    </row>
    <row r="91" spans="1:7">
      <c r="A91" s="171" t="s">
        <v>220</v>
      </c>
      <c r="B91" s="183">
        <v>9.11</v>
      </c>
      <c r="C91" s="174" t="s">
        <v>116</v>
      </c>
      <c r="D91" s="174"/>
      <c r="E91" s="175">
        <f>0.18*D91</f>
        <v>0</v>
      </c>
      <c r="F91" s="176">
        <f>B91*D91</f>
        <v>0</v>
      </c>
      <c r="G91" s="177">
        <f>B91*E91</f>
        <v>0</v>
      </c>
    </row>
    <row r="92" spans="1:7">
      <c r="A92" s="171" t="s">
        <v>221</v>
      </c>
      <c r="B92" s="183">
        <v>45.24</v>
      </c>
      <c r="C92" s="174" t="s">
        <v>66</v>
      </c>
      <c r="D92" s="174"/>
      <c r="E92" s="175"/>
      <c r="F92" s="176">
        <f>B92*D92</f>
        <v>0</v>
      </c>
      <c r="G92" s="177">
        <v>0</v>
      </c>
    </row>
    <row r="93" spans="1:7" ht="15" thickBot="1">
      <c r="A93" s="171" t="s">
        <v>222</v>
      </c>
      <c r="B93" s="183">
        <v>1.1000000000000001</v>
      </c>
      <c r="C93" s="174" t="s">
        <v>74</v>
      </c>
      <c r="D93" s="174"/>
      <c r="E93" s="175"/>
      <c r="F93" s="178">
        <f>B93*D93</f>
        <v>0</v>
      </c>
      <c r="G93" s="179">
        <v>0</v>
      </c>
    </row>
    <row r="94" spans="1:7" ht="15" thickBot="1">
      <c r="A94" s="166"/>
      <c r="B94" s="167"/>
      <c r="C94" s="162"/>
      <c r="D94" s="163"/>
      <c r="E94" s="164"/>
      <c r="F94" s="184">
        <f>SUM(F90:F93)</f>
        <v>0</v>
      </c>
      <c r="G94" s="185">
        <f>SUM(G90:G93)</f>
        <v>0</v>
      </c>
    </row>
    <row r="95" spans="1:7">
      <c r="A95" s="181" t="s">
        <v>217</v>
      </c>
      <c r="B95" s="186"/>
      <c r="C95" s="162"/>
      <c r="D95" s="163"/>
      <c r="E95" s="164"/>
      <c r="F95" s="165">
        <f>F94+G94</f>
        <v>0</v>
      </c>
      <c r="G95" s="95"/>
    </row>
    <row r="96" spans="1:7">
      <c r="A96" s="107"/>
      <c r="B96" s="108"/>
      <c r="C96" s="109"/>
      <c r="D96" s="109"/>
      <c r="E96" s="110"/>
      <c r="F96" s="111"/>
    </row>
    <row r="97" spans="1:6" ht="15.6">
      <c r="A97" s="187" t="s">
        <v>223</v>
      </c>
      <c r="B97" s="188">
        <v>1</v>
      </c>
      <c r="C97" s="188" t="s">
        <v>20</v>
      </c>
      <c r="D97" s="189"/>
      <c r="E97" s="190"/>
      <c r="F97" s="191"/>
    </row>
    <row r="98" spans="1:6" ht="17.399999999999999">
      <c r="A98" s="220" t="s">
        <v>224</v>
      </c>
      <c r="B98" s="221"/>
      <c r="C98" s="221"/>
      <c r="D98" s="219"/>
      <c r="E98" s="194"/>
      <c r="F98" s="195"/>
    </row>
    <row r="99" spans="1:6" ht="28.2">
      <c r="A99" s="196" t="s">
        <v>225</v>
      </c>
      <c r="B99" s="197">
        <v>6.4999999999999997E-3</v>
      </c>
      <c r="C99" s="175" t="s">
        <v>74</v>
      </c>
      <c r="D99" s="198">
        <f>F94</f>
        <v>0</v>
      </c>
      <c r="E99" s="199">
        <f>G94</f>
        <v>0</v>
      </c>
      <c r="F99" s="200">
        <f>+B99*(D99+E99)</f>
        <v>0</v>
      </c>
    </row>
    <row r="100" spans="1:6">
      <c r="A100" s="192" t="s">
        <v>186</v>
      </c>
      <c r="B100" s="193"/>
      <c r="C100" s="193"/>
      <c r="D100" s="194"/>
      <c r="E100" s="194"/>
      <c r="F100" s="201"/>
    </row>
    <row r="101" spans="1:6" ht="15">
      <c r="A101" s="196" t="s">
        <v>186</v>
      </c>
      <c r="B101" s="202">
        <v>1</v>
      </c>
      <c r="C101" s="175" t="s">
        <v>8</v>
      </c>
      <c r="D101" s="198"/>
      <c r="E101" s="199"/>
      <c r="F101" s="200">
        <f>(B101+D101)</f>
        <v>1</v>
      </c>
    </row>
    <row r="102" spans="1:6" ht="15.6">
      <c r="A102" s="203"/>
      <c r="B102" s="204"/>
      <c r="C102" s="204"/>
      <c r="D102" s="205" t="s">
        <v>20</v>
      </c>
      <c r="E102" s="206"/>
      <c r="F102" s="207">
        <f>SUM(F98:F101)</f>
        <v>1</v>
      </c>
    </row>
    <row r="103" spans="1:6" ht="15.6">
      <c r="A103" s="168" t="s">
        <v>262</v>
      </c>
      <c r="B103" s="97" t="s">
        <v>30</v>
      </c>
      <c r="C103" s="98" t="s">
        <v>17</v>
      </c>
      <c r="D103" s="98" t="s">
        <v>31</v>
      </c>
      <c r="E103" s="99" t="s">
        <v>32</v>
      </c>
      <c r="F103" s="77" t="s">
        <v>33</v>
      </c>
    </row>
    <row r="104" spans="1:6">
      <c r="A104" s="220" t="s">
        <v>224</v>
      </c>
      <c r="B104" s="154"/>
      <c r="C104" s="109"/>
      <c r="D104" s="155"/>
      <c r="E104" s="222"/>
      <c r="F104" s="156"/>
    </row>
    <row r="105" spans="1:6" ht="28.2">
      <c r="A105" s="196" t="s">
        <v>225</v>
      </c>
      <c r="B105" s="197">
        <v>0.02</v>
      </c>
      <c r="C105" s="175" t="s">
        <v>74</v>
      </c>
      <c r="D105" s="198">
        <f>F94</f>
        <v>0</v>
      </c>
      <c r="E105" s="198">
        <f>G94</f>
        <v>0</v>
      </c>
      <c r="F105" s="200">
        <f>+B105*(D105+E105)</f>
        <v>0</v>
      </c>
    </row>
    <row r="106" spans="1:6">
      <c r="A106" s="192" t="s">
        <v>186</v>
      </c>
      <c r="B106" s="193"/>
      <c r="C106" s="193"/>
      <c r="D106" s="194"/>
      <c r="E106" s="194"/>
      <c r="F106" s="201"/>
    </row>
    <row r="107" spans="1:6" ht="15">
      <c r="A107" s="196" t="s">
        <v>186</v>
      </c>
      <c r="B107" s="202">
        <v>1</v>
      </c>
      <c r="C107" s="175" t="s">
        <v>8</v>
      </c>
      <c r="D107" s="198"/>
      <c r="E107" s="199"/>
      <c r="F107" s="200">
        <f>B107*D107</f>
        <v>0</v>
      </c>
    </row>
    <row r="108" spans="1:6" ht="15.6">
      <c r="A108" s="107"/>
      <c r="B108" s="108"/>
      <c r="C108" s="109"/>
      <c r="D108" s="205" t="s">
        <v>20</v>
      </c>
      <c r="E108" s="206"/>
      <c r="F108" s="207">
        <f>SUM(F104:F107)</f>
        <v>0</v>
      </c>
    </row>
    <row r="109" spans="1:6" ht="15" thickBot="1">
      <c r="A109" s="107"/>
      <c r="B109" s="108"/>
      <c r="C109" s="109"/>
      <c r="E109" s="110"/>
      <c r="F109" s="111"/>
    </row>
    <row r="110" spans="1:6" ht="15" thickBot="1">
      <c r="A110" s="591" t="s">
        <v>149</v>
      </c>
      <c r="B110" s="592"/>
      <c r="C110" s="592"/>
      <c r="D110" s="592"/>
      <c r="E110" s="592"/>
      <c r="F110" s="593"/>
    </row>
    <row r="111" spans="1:6" ht="15.6">
      <c r="A111" s="96" t="s">
        <v>29</v>
      </c>
      <c r="B111" s="97" t="s">
        <v>30</v>
      </c>
      <c r="C111" s="98" t="s">
        <v>17</v>
      </c>
      <c r="D111" s="98" t="s">
        <v>31</v>
      </c>
      <c r="E111" s="99" t="s">
        <v>32</v>
      </c>
      <c r="F111" s="77" t="s">
        <v>33</v>
      </c>
    </row>
    <row r="112" spans="1:6">
      <c r="A112" s="100" t="s">
        <v>241</v>
      </c>
      <c r="B112" s="101">
        <v>3</v>
      </c>
      <c r="C112" s="102" t="s">
        <v>49</v>
      </c>
      <c r="D112" s="102">
        <v>1</v>
      </c>
      <c r="E112" s="151"/>
      <c r="F112" s="104">
        <f>E112*B112/D112</f>
        <v>0</v>
      </c>
    </row>
    <row r="113" spans="1:6">
      <c r="A113" s="153" t="s">
        <v>243</v>
      </c>
      <c r="B113" s="154" t="s">
        <v>244</v>
      </c>
      <c r="C113" s="155" t="s">
        <v>8</v>
      </c>
      <c r="D113" s="155">
        <v>1</v>
      </c>
      <c r="E113" s="229"/>
      <c r="F113" s="104">
        <f>113.35*E113</f>
        <v>0</v>
      </c>
    </row>
    <row r="114" spans="1:6">
      <c r="A114" s="100" t="s">
        <v>50</v>
      </c>
      <c r="B114" s="158">
        <v>0.05</v>
      </c>
      <c r="C114" s="102"/>
      <c r="D114" s="102">
        <v>1</v>
      </c>
      <c r="E114" s="103"/>
      <c r="F114" s="104">
        <f>E114*B114</f>
        <v>0</v>
      </c>
    </row>
    <row r="115" spans="1:6">
      <c r="A115" s="100"/>
      <c r="B115" s="101"/>
      <c r="C115" s="102"/>
      <c r="D115" s="102"/>
      <c r="E115" s="105" t="s">
        <v>33</v>
      </c>
      <c r="F115" s="106">
        <f>SUM(F112:F114)</f>
        <v>0</v>
      </c>
    </row>
    <row r="116" spans="1:6">
      <c r="A116" s="153"/>
      <c r="B116" s="154"/>
      <c r="C116" s="155"/>
      <c r="D116" s="155"/>
      <c r="E116" s="222" t="s">
        <v>242</v>
      </c>
      <c r="F116" s="156">
        <f>F115/113.35</f>
        <v>0</v>
      </c>
    </row>
    <row r="117" spans="1:6">
      <c r="A117" s="100"/>
      <c r="B117" s="101"/>
      <c r="C117" s="102"/>
      <c r="D117" s="102"/>
      <c r="E117" s="105" t="s">
        <v>14</v>
      </c>
      <c r="F117" s="106">
        <f>+F115*0.18</f>
        <v>0</v>
      </c>
    </row>
    <row r="118" spans="1:6" ht="15" thickBot="1">
      <c r="A118" s="107"/>
      <c r="B118" s="108"/>
      <c r="C118" s="109"/>
      <c r="D118" s="109"/>
      <c r="E118" s="110"/>
      <c r="F118" s="111"/>
    </row>
    <row r="119" spans="1:6" ht="15" customHeight="1" thickBot="1">
      <c r="A119" s="591" t="s">
        <v>264</v>
      </c>
      <c r="B119" s="592"/>
      <c r="C119" s="592"/>
      <c r="D119" s="592"/>
      <c r="E119" s="592"/>
      <c r="F119" s="593"/>
    </row>
    <row r="120" spans="1:6" ht="15.6">
      <c r="A120" s="96" t="s">
        <v>29</v>
      </c>
      <c r="B120" s="97" t="s">
        <v>30</v>
      </c>
      <c r="C120" s="98" t="s">
        <v>17</v>
      </c>
      <c r="D120" s="98" t="s">
        <v>31</v>
      </c>
      <c r="E120" s="99" t="s">
        <v>32</v>
      </c>
      <c r="F120" s="77" t="s">
        <v>33</v>
      </c>
    </row>
    <row r="121" spans="1:6">
      <c r="A121" s="100" t="s">
        <v>285</v>
      </c>
      <c r="B121" s="101">
        <v>2</v>
      </c>
      <c r="C121" s="102" t="s">
        <v>49</v>
      </c>
      <c r="D121" s="102">
        <v>1</v>
      </c>
      <c r="E121" s="151"/>
      <c r="F121" s="104">
        <f>E121*B121/D121</f>
        <v>0</v>
      </c>
    </row>
    <row r="122" spans="1:6">
      <c r="A122" s="153" t="s">
        <v>243</v>
      </c>
      <c r="B122" s="154">
        <v>75</v>
      </c>
      <c r="C122" s="155" t="s">
        <v>8</v>
      </c>
      <c r="D122" s="155">
        <v>1</v>
      </c>
      <c r="E122" s="229"/>
      <c r="F122" s="104">
        <f>B122*E122</f>
        <v>0</v>
      </c>
    </row>
    <row r="123" spans="1:6">
      <c r="A123" s="100" t="s">
        <v>50</v>
      </c>
      <c r="B123" s="158">
        <v>0.03</v>
      </c>
      <c r="C123" s="102"/>
      <c r="D123" s="102">
        <v>1</v>
      </c>
      <c r="E123" s="103"/>
      <c r="F123" s="104">
        <f>E123*B123</f>
        <v>0</v>
      </c>
    </row>
    <row r="124" spans="1:6">
      <c r="A124" s="100"/>
      <c r="B124" s="101"/>
      <c r="C124" s="102"/>
      <c r="D124" s="102"/>
      <c r="E124" s="105" t="s">
        <v>33</v>
      </c>
      <c r="F124" s="106">
        <f>SUM(F121:F123)</f>
        <v>0</v>
      </c>
    </row>
    <row r="125" spans="1:6" ht="15" thickBot="1">
      <c r="A125" s="107"/>
      <c r="B125" s="108"/>
      <c r="C125" s="109"/>
      <c r="D125" s="109"/>
      <c r="E125" s="110"/>
      <c r="F125" s="111"/>
    </row>
    <row r="126" spans="1:6" ht="15" thickBot="1">
      <c r="A126" s="580" t="s">
        <v>266</v>
      </c>
      <c r="B126" s="581"/>
      <c r="C126" s="581"/>
      <c r="D126" s="581"/>
      <c r="E126" s="581"/>
      <c r="F126" s="582"/>
    </row>
    <row r="127" spans="1:6" ht="15.6">
      <c r="A127" s="96" t="s">
        <v>29</v>
      </c>
      <c r="B127" s="97" t="s">
        <v>30</v>
      </c>
      <c r="C127" s="98" t="s">
        <v>17</v>
      </c>
      <c r="D127" s="98" t="s">
        <v>31</v>
      </c>
      <c r="E127" s="99" t="s">
        <v>32</v>
      </c>
      <c r="F127" s="77" t="s">
        <v>33</v>
      </c>
    </row>
    <row r="128" spans="1:6">
      <c r="A128" s="100" t="s">
        <v>265</v>
      </c>
      <c r="B128" s="101">
        <v>1</v>
      </c>
      <c r="C128" s="102" t="s">
        <v>107</v>
      </c>
      <c r="D128" s="102">
        <v>1</v>
      </c>
      <c r="E128" s="103"/>
      <c r="F128" s="104">
        <f>+(B128*E128)/D128</f>
        <v>0</v>
      </c>
    </row>
    <row r="129" spans="1:6">
      <c r="A129" s="100" t="s">
        <v>267</v>
      </c>
      <c r="B129" s="101">
        <f>1*4*16/12</f>
        <v>5.333333333333333</v>
      </c>
      <c r="C129" s="102" t="s">
        <v>35</v>
      </c>
      <c r="D129" s="102"/>
      <c r="E129" s="103"/>
      <c r="F129" s="104">
        <f>B129*E129</f>
        <v>0</v>
      </c>
    </row>
    <row r="130" spans="1:6">
      <c r="A130" s="100" t="s">
        <v>697</v>
      </c>
      <c r="B130" s="101">
        <v>1</v>
      </c>
      <c r="C130" s="102" t="s">
        <v>107</v>
      </c>
      <c r="D130" s="102"/>
      <c r="E130" s="103"/>
      <c r="F130" s="104">
        <f>B130*E130</f>
        <v>0</v>
      </c>
    </row>
    <row r="131" spans="1:6">
      <c r="A131" s="100" t="s">
        <v>268</v>
      </c>
      <c r="B131" s="101">
        <v>1</v>
      </c>
      <c r="C131" s="102" t="s">
        <v>107</v>
      </c>
      <c r="D131" s="102"/>
      <c r="E131" s="103"/>
      <c r="F131" s="104">
        <f>B131*E131</f>
        <v>0</v>
      </c>
    </row>
    <row r="132" spans="1:6" ht="15" customHeight="1">
      <c r="A132" s="100"/>
      <c r="B132" s="101"/>
      <c r="C132" s="102"/>
      <c r="D132" s="102"/>
      <c r="E132" s="105" t="s">
        <v>17</v>
      </c>
      <c r="F132" s="106">
        <f>SUM(F128:F131)</f>
        <v>0</v>
      </c>
    </row>
    <row r="133" spans="1:6" ht="15" thickBot="1">
      <c r="A133" s="107"/>
      <c r="B133" s="108"/>
      <c r="C133" s="109"/>
      <c r="D133" s="109"/>
      <c r="E133" s="110"/>
      <c r="F133" s="111"/>
    </row>
    <row r="134" spans="1:6" ht="15" thickBot="1">
      <c r="A134" s="580" t="s">
        <v>269</v>
      </c>
      <c r="B134" s="581"/>
      <c r="C134" s="581"/>
      <c r="D134" s="581"/>
      <c r="E134" s="581"/>
      <c r="F134" s="582"/>
    </row>
    <row r="135" spans="1:6" ht="15.6">
      <c r="A135" s="96" t="s">
        <v>29</v>
      </c>
      <c r="B135" s="97" t="s">
        <v>30</v>
      </c>
      <c r="C135" s="98" t="s">
        <v>17</v>
      </c>
      <c r="D135" s="98" t="s">
        <v>31</v>
      </c>
      <c r="E135" s="99" t="s">
        <v>32</v>
      </c>
      <c r="F135" s="77" t="s">
        <v>33</v>
      </c>
    </row>
    <row r="136" spans="1:6">
      <c r="A136" s="100" t="s">
        <v>270</v>
      </c>
      <c r="B136" s="101">
        <v>1</v>
      </c>
      <c r="C136" s="102" t="s">
        <v>7</v>
      </c>
      <c r="D136" s="102">
        <v>1</v>
      </c>
      <c r="E136" s="103"/>
      <c r="F136" s="104">
        <f>+(B136*E136)/D136</f>
        <v>0</v>
      </c>
    </row>
    <row r="137" spans="1:6">
      <c r="A137" s="100"/>
      <c r="B137" s="101"/>
      <c r="C137" s="102"/>
      <c r="D137" s="102"/>
      <c r="E137" s="105" t="s">
        <v>17</v>
      </c>
      <c r="F137" s="106">
        <f>F136</f>
        <v>0</v>
      </c>
    </row>
    <row r="138" spans="1:6" ht="15" thickBot="1">
      <c r="A138" s="107"/>
      <c r="B138" s="108"/>
      <c r="C138" s="109"/>
      <c r="D138" s="109"/>
      <c r="E138" s="110"/>
      <c r="F138" s="111"/>
    </row>
    <row r="139" spans="1:6" ht="15" thickBot="1">
      <c r="A139" s="580" t="s">
        <v>271</v>
      </c>
      <c r="B139" s="581"/>
      <c r="C139" s="581"/>
      <c r="D139" s="581"/>
      <c r="E139" s="581"/>
      <c r="F139" s="582"/>
    </row>
    <row r="140" spans="1:6" ht="15.6">
      <c r="A140" s="96" t="s">
        <v>29</v>
      </c>
      <c r="B140" s="97" t="s">
        <v>30</v>
      </c>
      <c r="C140" s="98" t="s">
        <v>17</v>
      </c>
      <c r="D140" s="98" t="s">
        <v>31</v>
      </c>
      <c r="E140" s="99" t="s">
        <v>32</v>
      </c>
      <c r="F140" s="77" t="s">
        <v>33</v>
      </c>
    </row>
    <row r="141" spans="1:6" ht="25.2" customHeight="1">
      <c r="A141" s="301" t="s">
        <v>272</v>
      </c>
      <c r="B141" s="101">
        <v>1</v>
      </c>
      <c r="C141" s="102" t="s">
        <v>7</v>
      </c>
      <c r="D141" s="300"/>
      <c r="E141" s="302"/>
      <c r="F141" s="303">
        <f>B141*E141</f>
        <v>0</v>
      </c>
    </row>
    <row r="142" spans="1:6">
      <c r="A142" s="100"/>
      <c r="B142" s="101"/>
      <c r="C142" s="102"/>
      <c r="D142" s="102"/>
      <c r="E142" s="105" t="s">
        <v>17</v>
      </c>
      <c r="F142" s="106">
        <f>F141</f>
        <v>0</v>
      </c>
    </row>
    <row r="143" spans="1:6" ht="15" thickBot="1">
      <c r="A143" s="107"/>
      <c r="B143" s="108"/>
      <c r="C143" s="109"/>
      <c r="D143" s="109"/>
      <c r="E143" s="110"/>
      <c r="F143" s="111"/>
    </row>
    <row r="144" spans="1:6" ht="15" thickBot="1">
      <c r="A144" s="580" t="s">
        <v>273</v>
      </c>
      <c r="B144" s="581"/>
      <c r="C144" s="581"/>
      <c r="D144" s="581"/>
      <c r="E144" s="581"/>
      <c r="F144" s="582"/>
    </row>
    <row r="145" spans="1:6" ht="15.6">
      <c r="A145" s="96" t="s">
        <v>29</v>
      </c>
      <c r="B145" s="97" t="s">
        <v>30</v>
      </c>
      <c r="C145" s="98" t="s">
        <v>17</v>
      </c>
      <c r="D145" s="98" t="s">
        <v>31</v>
      </c>
      <c r="E145" s="99" t="s">
        <v>32</v>
      </c>
      <c r="F145" s="77" t="s">
        <v>33</v>
      </c>
    </row>
    <row r="146" spans="1:6">
      <c r="A146" s="232" t="s">
        <v>274</v>
      </c>
      <c r="B146" s="101">
        <v>1</v>
      </c>
      <c r="C146" s="102" t="s">
        <v>7</v>
      </c>
      <c r="D146" s="102">
        <v>1</v>
      </c>
      <c r="E146" s="103"/>
      <c r="F146" s="104">
        <f>+(B146*E146)/D146</f>
        <v>0</v>
      </c>
    </row>
    <row r="147" spans="1:6">
      <c r="A147" s="232" t="s">
        <v>290</v>
      </c>
      <c r="B147" s="101">
        <v>0.05</v>
      </c>
      <c r="C147" s="102"/>
      <c r="D147" s="102"/>
      <c r="E147" s="103"/>
      <c r="F147" s="104">
        <f>B147*E147</f>
        <v>0</v>
      </c>
    </row>
    <row r="148" spans="1:6" ht="15" thickBot="1">
      <c r="A148" s="100"/>
      <c r="B148" s="101"/>
      <c r="C148" s="102"/>
      <c r="D148" s="102"/>
      <c r="E148" s="105" t="s">
        <v>17</v>
      </c>
      <c r="F148" s="106">
        <f>SUM(F146:F147)</f>
        <v>0</v>
      </c>
    </row>
    <row r="149" spans="1:6" ht="15" thickBot="1">
      <c r="A149" s="580" t="s">
        <v>405</v>
      </c>
      <c r="B149" s="581"/>
      <c r="C149" s="581"/>
      <c r="D149" s="581"/>
      <c r="E149" s="581"/>
      <c r="F149" s="582"/>
    </row>
    <row r="150" spans="1:6" ht="15.6">
      <c r="A150" s="96" t="s">
        <v>29</v>
      </c>
      <c r="B150" s="97" t="s">
        <v>30</v>
      </c>
      <c r="C150" s="98" t="s">
        <v>17</v>
      </c>
      <c r="D150" s="98" t="s">
        <v>31</v>
      </c>
      <c r="E150" s="99" t="s">
        <v>32</v>
      </c>
      <c r="F150" s="77" t="s">
        <v>33</v>
      </c>
    </row>
    <row r="151" spans="1:6">
      <c r="A151" s="232" t="s">
        <v>274</v>
      </c>
      <c r="B151" s="101">
        <v>1</v>
      </c>
      <c r="C151" s="102" t="s">
        <v>7</v>
      </c>
      <c r="D151" s="102">
        <v>1</v>
      </c>
      <c r="E151" s="103"/>
      <c r="F151" s="104">
        <f>+(B151*E151)/D151</f>
        <v>0</v>
      </c>
    </row>
    <row r="152" spans="1:6">
      <c r="A152" s="284" t="s">
        <v>408</v>
      </c>
      <c r="B152" s="298">
        <v>1</v>
      </c>
      <c r="C152" s="298" t="s">
        <v>17</v>
      </c>
      <c r="D152" s="298">
        <v>1857.23729</v>
      </c>
      <c r="E152" s="103"/>
      <c r="F152" s="299">
        <f>+B152*(D152+E152)</f>
        <v>1857.23729</v>
      </c>
    </row>
    <row r="153" spans="1:6">
      <c r="A153" s="100"/>
      <c r="B153" s="101"/>
      <c r="C153" s="102"/>
      <c r="D153" s="102"/>
      <c r="E153" s="105" t="s">
        <v>17</v>
      </c>
      <c r="F153" s="106">
        <f>SUM(F151:F152)</f>
        <v>1857.23729</v>
      </c>
    </row>
    <row r="154" spans="1:6" ht="15" thickBot="1">
      <c r="A154" s="107"/>
      <c r="B154" s="108"/>
      <c r="C154" s="109"/>
      <c r="D154" s="109"/>
      <c r="E154" s="110"/>
      <c r="F154" s="111"/>
    </row>
    <row r="155" spans="1:6" ht="15" thickBot="1">
      <c r="A155" s="580" t="s">
        <v>275</v>
      </c>
      <c r="B155" s="581"/>
      <c r="C155" s="581"/>
      <c r="D155" s="581"/>
      <c r="E155" s="581"/>
      <c r="F155" s="582"/>
    </row>
    <row r="156" spans="1:6" ht="15.6">
      <c r="A156" s="96" t="s">
        <v>29</v>
      </c>
      <c r="B156" s="97" t="s">
        <v>30</v>
      </c>
      <c r="C156" s="98" t="s">
        <v>17</v>
      </c>
      <c r="D156" s="98" t="s">
        <v>31</v>
      </c>
      <c r="E156" s="99" t="s">
        <v>32</v>
      </c>
      <c r="F156" s="77" t="s">
        <v>33</v>
      </c>
    </row>
    <row r="157" spans="1:6">
      <c r="A157" s="232" t="s">
        <v>274</v>
      </c>
      <c r="B157" s="101">
        <v>1</v>
      </c>
      <c r="C157" s="102" t="s">
        <v>7</v>
      </c>
      <c r="D157" s="102">
        <v>1</v>
      </c>
      <c r="E157" s="103"/>
      <c r="F157" s="104">
        <f>+(B157*E157)/D157</f>
        <v>0</v>
      </c>
    </row>
    <row r="158" spans="1:6">
      <c r="A158" s="284" t="s">
        <v>408</v>
      </c>
      <c r="B158" s="298">
        <v>1</v>
      </c>
      <c r="C158" s="298" t="s">
        <v>17</v>
      </c>
      <c r="D158" s="298">
        <v>1857.23729</v>
      </c>
      <c r="E158" s="103"/>
      <c r="F158" s="299">
        <f>+B158*(D158+E158)</f>
        <v>1857.23729</v>
      </c>
    </row>
    <row r="159" spans="1:6">
      <c r="A159" s="100"/>
      <c r="B159" s="101"/>
      <c r="C159" s="102"/>
      <c r="D159" s="102"/>
      <c r="E159" s="105" t="s">
        <v>17</v>
      </c>
      <c r="F159" s="106">
        <f>SUM(F157:F158)</f>
        <v>1857.23729</v>
      </c>
    </row>
    <row r="160" spans="1:6" ht="15" thickBot="1">
      <c r="A160" s="107"/>
      <c r="B160" s="108"/>
      <c r="C160" s="109"/>
      <c r="D160" s="109"/>
      <c r="E160" s="110"/>
      <c r="F160" s="111"/>
    </row>
    <row r="161" spans="1:6" ht="15" thickBot="1">
      <c r="A161" s="580" t="s">
        <v>318</v>
      </c>
      <c r="B161" s="581"/>
      <c r="C161" s="581"/>
      <c r="D161" s="581"/>
      <c r="E161" s="581"/>
      <c r="F161" s="582"/>
    </row>
    <row r="162" spans="1:6" ht="15.6">
      <c r="A162" s="96" t="s">
        <v>29</v>
      </c>
      <c r="B162" s="97" t="s">
        <v>30</v>
      </c>
      <c r="C162" s="98" t="s">
        <v>17</v>
      </c>
      <c r="D162" s="98" t="s">
        <v>31</v>
      </c>
      <c r="E162" s="99" t="s">
        <v>32</v>
      </c>
      <c r="F162" s="77" t="s">
        <v>33</v>
      </c>
    </row>
    <row r="163" spans="1:6">
      <c r="A163" s="232" t="s">
        <v>274</v>
      </c>
      <c r="B163" s="101">
        <v>1</v>
      </c>
      <c r="C163" s="102" t="s">
        <v>7</v>
      </c>
      <c r="D163" s="102">
        <v>1</v>
      </c>
      <c r="E163" s="103"/>
      <c r="F163" s="104">
        <f>+(B163*E163)/D163</f>
        <v>0</v>
      </c>
    </row>
    <row r="164" spans="1:6">
      <c r="A164" s="100"/>
      <c r="B164" s="101"/>
      <c r="C164" s="102"/>
      <c r="D164" s="102"/>
      <c r="E164" s="105" t="s">
        <v>17</v>
      </c>
      <c r="F164" s="106">
        <f>F163</f>
        <v>0</v>
      </c>
    </row>
    <row r="165" spans="1:6" ht="15" thickBot="1">
      <c r="A165" s="107"/>
      <c r="B165" s="108"/>
      <c r="C165" s="109"/>
      <c r="D165" s="109"/>
      <c r="E165" s="110"/>
      <c r="F165" s="111"/>
    </row>
    <row r="166" spans="1:6" ht="15" thickBot="1">
      <c r="A166" s="580" t="s">
        <v>276</v>
      </c>
      <c r="B166" s="581"/>
      <c r="C166" s="581"/>
      <c r="D166" s="581"/>
      <c r="E166" s="581"/>
      <c r="F166" s="582"/>
    </row>
    <row r="167" spans="1:6" ht="15.6">
      <c r="A167" s="96" t="s">
        <v>29</v>
      </c>
      <c r="B167" s="97" t="s">
        <v>30</v>
      </c>
      <c r="C167" s="98" t="s">
        <v>17</v>
      </c>
      <c r="D167" s="98" t="s">
        <v>31</v>
      </c>
      <c r="E167" s="99" t="s">
        <v>32</v>
      </c>
      <c r="F167" s="77" t="s">
        <v>33</v>
      </c>
    </row>
    <row r="168" spans="1:6">
      <c r="A168" s="232" t="s">
        <v>274</v>
      </c>
      <c r="B168" s="101">
        <v>1</v>
      </c>
      <c r="C168" s="102" t="s">
        <v>7</v>
      </c>
      <c r="D168" s="102">
        <v>1</v>
      </c>
      <c r="E168" s="103"/>
      <c r="F168" s="104">
        <f>+(B168*E168)/D168</f>
        <v>0</v>
      </c>
    </row>
    <row r="169" spans="1:6">
      <c r="A169" s="100"/>
      <c r="B169" s="101"/>
      <c r="C169" s="102"/>
      <c r="D169" s="102"/>
      <c r="E169" s="105" t="s">
        <v>17</v>
      </c>
      <c r="F169" s="106">
        <f>F168</f>
        <v>0</v>
      </c>
    </row>
    <row r="170" spans="1:6" ht="15" thickBot="1">
      <c r="A170" s="107"/>
      <c r="B170" s="108"/>
      <c r="C170" s="109"/>
      <c r="D170" s="109"/>
      <c r="E170" s="110"/>
      <c r="F170" s="111"/>
    </row>
    <row r="171" spans="1:6" ht="15" thickBot="1">
      <c r="A171" s="580" t="s">
        <v>320</v>
      </c>
      <c r="B171" s="581"/>
      <c r="C171" s="581"/>
      <c r="D171" s="581"/>
      <c r="E171" s="581"/>
      <c r="F171" s="582"/>
    </row>
    <row r="172" spans="1:6" ht="15.6">
      <c r="A172" s="96" t="s">
        <v>29</v>
      </c>
      <c r="B172" s="97" t="s">
        <v>30</v>
      </c>
      <c r="C172" s="98" t="s">
        <v>17</v>
      </c>
      <c r="D172" s="98" t="s">
        <v>31</v>
      </c>
      <c r="E172" s="99" t="s">
        <v>32</v>
      </c>
      <c r="F172" s="77" t="s">
        <v>33</v>
      </c>
    </row>
    <row r="173" spans="1:6">
      <c r="A173" s="232" t="s">
        <v>274</v>
      </c>
      <c r="B173" s="101">
        <v>1</v>
      </c>
      <c r="C173" s="102" t="s">
        <v>7</v>
      </c>
      <c r="D173" s="102">
        <v>1</v>
      </c>
      <c r="E173" s="103"/>
      <c r="F173" s="104">
        <f>+(B173*E173)/D173</f>
        <v>0</v>
      </c>
    </row>
    <row r="174" spans="1:6">
      <c r="A174" s="100"/>
      <c r="B174" s="101"/>
      <c r="C174" s="102"/>
      <c r="D174" s="102"/>
      <c r="E174" s="105" t="s">
        <v>17</v>
      </c>
      <c r="F174" s="106">
        <f>F173</f>
        <v>0</v>
      </c>
    </row>
    <row r="175" spans="1:6" ht="15" thickBot="1">
      <c r="A175" s="107"/>
      <c r="B175" s="108"/>
      <c r="C175" s="109"/>
      <c r="D175" s="109"/>
      <c r="E175" s="110"/>
      <c r="F175" s="111"/>
    </row>
    <row r="176" spans="1:6" ht="15" thickBot="1">
      <c r="A176" s="580" t="s">
        <v>319</v>
      </c>
      <c r="B176" s="581"/>
      <c r="C176" s="581"/>
      <c r="D176" s="581"/>
      <c r="E176" s="581"/>
      <c r="F176" s="582"/>
    </row>
    <row r="177" spans="1:6" ht="15.6">
      <c r="A177" s="96" t="s">
        <v>29</v>
      </c>
      <c r="B177" s="97" t="s">
        <v>30</v>
      </c>
      <c r="C177" s="98" t="s">
        <v>17</v>
      </c>
      <c r="D177" s="98" t="s">
        <v>31</v>
      </c>
      <c r="E177" s="99" t="s">
        <v>32</v>
      </c>
      <c r="F177" s="77" t="s">
        <v>33</v>
      </c>
    </row>
    <row r="178" spans="1:6">
      <c r="A178" s="232" t="s">
        <v>274</v>
      </c>
      <c r="B178" s="101">
        <v>1</v>
      </c>
      <c r="C178" s="102" t="s">
        <v>7</v>
      </c>
      <c r="D178" s="102">
        <v>1</v>
      </c>
      <c r="E178" s="103"/>
      <c r="F178" s="104">
        <f>+(B178*E178)/D178</f>
        <v>0</v>
      </c>
    </row>
    <row r="179" spans="1:6">
      <c r="A179" s="232" t="s">
        <v>697</v>
      </c>
      <c r="B179" s="101">
        <v>1</v>
      </c>
      <c r="C179" s="102" t="s">
        <v>107</v>
      </c>
      <c r="D179" s="102"/>
      <c r="E179" s="103"/>
      <c r="F179" s="104">
        <f>B179*E179</f>
        <v>0</v>
      </c>
    </row>
    <row r="180" spans="1:6">
      <c r="A180" s="100"/>
      <c r="B180" s="101"/>
      <c r="C180" s="102"/>
      <c r="D180" s="102"/>
      <c r="E180" s="105" t="s">
        <v>17</v>
      </c>
      <c r="F180" s="106">
        <f>SUM(F178:F179)</f>
        <v>0</v>
      </c>
    </row>
    <row r="181" spans="1:6" ht="15" thickBot="1">
      <c r="A181" s="107"/>
      <c r="B181" s="108"/>
      <c r="C181" s="109"/>
      <c r="D181" s="109"/>
      <c r="E181" s="110"/>
      <c r="F181" s="111"/>
    </row>
    <row r="182" spans="1:6" ht="15" thickBot="1">
      <c r="A182" s="591" t="s">
        <v>61</v>
      </c>
      <c r="B182" s="592"/>
      <c r="C182" s="592"/>
      <c r="D182" s="592"/>
      <c r="E182" s="592"/>
      <c r="F182" s="593"/>
    </row>
    <row r="183" spans="1:6" ht="15.6" customHeight="1">
      <c r="A183" s="96" t="s">
        <v>29</v>
      </c>
      <c r="B183" s="97" t="s">
        <v>30</v>
      </c>
      <c r="C183" s="98" t="s">
        <v>17</v>
      </c>
      <c r="D183" s="98" t="s">
        <v>31</v>
      </c>
      <c r="E183" s="99" t="s">
        <v>32</v>
      </c>
      <c r="F183" s="77" t="s">
        <v>33</v>
      </c>
    </row>
    <row r="184" spans="1:6">
      <c r="A184" s="153" t="s">
        <v>314</v>
      </c>
      <c r="B184" s="154">
        <v>1.2</v>
      </c>
      <c r="C184" s="155" t="s">
        <v>49</v>
      </c>
      <c r="D184" s="155"/>
      <c r="E184" s="233"/>
      <c r="F184" s="69">
        <f>B184*E184</f>
        <v>0</v>
      </c>
    </row>
    <row r="185" spans="1:6">
      <c r="A185" s="153" t="s">
        <v>243</v>
      </c>
      <c r="B185" s="154">
        <v>1</v>
      </c>
      <c r="C185" s="155" t="s">
        <v>7</v>
      </c>
      <c r="D185" s="155"/>
      <c r="E185" s="233"/>
      <c r="F185" s="69">
        <f>B185*E185</f>
        <v>0</v>
      </c>
    </row>
    <row r="186" spans="1:6">
      <c r="A186" s="153" t="s">
        <v>50</v>
      </c>
      <c r="B186" s="234">
        <v>0.05</v>
      </c>
      <c r="C186" s="155"/>
      <c r="D186" s="155"/>
      <c r="E186" s="233"/>
      <c r="F186" s="69">
        <f>E186*B186</f>
        <v>0</v>
      </c>
    </row>
    <row r="187" spans="1:6">
      <c r="A187" s="153"/>
      <c r="B187" s="154"/>
      <c r="C187" s="155"/>
      <c r="D187" s="155"/>
      <c r="E187" s="222" t="s">
        <v>33</v>
      </c>
      <c r="F187" s="156">
        <f>SUM(F184:F186)</f>
        <v>0</v>
      </c>
    </row>
    <row r="188" spans="1:6">
      <c r="A188" s="153"/>
      <c r="B188" s="154"/>
      <c r="C188" s="155"/>
      <c r="D188" s="155"/>
      <c r="E188" s="222" t="s">
        <v>17</v>
      </c>
      <c r="F188" s="156">
        <f>F187/30</f>
        <v>0</v>
      </c>
    </row>
    <row r="189" spans="1:6">
      <c r="A189" s="153"/>
      <c r="B189" s="154"/>
      <c r="C189" s="155"/>
      <c r="D189" s="155"/>
      <c r="E189" s="222" t="s">
        <v>14</v>
      </c>
      <c r="F189" s="156">
        <f>+F187*0.18</f>
        <v>0</v>
      </c>
    </row>
    <row r="190" spans="1:6" ht="15" thickBot="1"/>
    <row r="191" spans="1:6" ht="15" thickBot="1">
      <c r="A191" s="591" t="s">
        <v>321</v>
      </c>
      <c r="B191" s="592"/>
      <c r="C191" s="592"/>
      <c r="D191" s="592"/>
      <c r="E191" s="592"/>
      <c r="F191" s="593"/>
    </row>
    <row r="192" spans="1:6" ht="15.6">
      <c r="A192" s="96" t="s">
        <v>29</v>
      </c>
      <c r="B192" s="97" t="s">
        <v>30</v>
      </c>
      <c r="C192" s="98" t="s">
        <v>17</v>
      </c>
      <c r="D192" s="98" t="s">
        <v>31</v>
      </c>
      <c r="E192" s="99" t="s">
        <v>32</v>
      </c>
      <c r="F192" s="77" t="s">
        <v>33</v>
      </c>
    </row>
    <row r="193" spans="1:7">
      <c r="A193" s="153" t="s">
        <v>287</v>
      </c>
      <c r="B193" s="154">
        <v>18</v>
      </c>
      <c r="C193" s="155" t="s">
        <v>49</v>
      </c>
      <c r="D193" s="155"/>
      <c r="E193" s="233"/>
      <c r="F193" s="69">
        <f>B193*E193</f>
        <v>0</v>
      </c>
    </row>
    <row r="194" spans="1:7">
      <c r="A194" s="153"/>
      <c r="B194" s="154"/>
      <c r="C194" s="155"/>
      <c r="D194" s="155"/>
      <c r="E194" s="222" t="s">
        <v>33</v>
      </c>
      <c r="F194" s="156">
        <f>SUM(F193:F193)</f>
        <v>0</v>
      </c>
    </row>
    <row r="195" spans="1:7">
      <c r="A195" s="153"/>
      <c r="B195" s="154"/>
      <c r="C195" s="155"/>
      <c r="D195" s="155"/>
      <c r="E195" s="222" t="s">
        <v>17</v>
      </c>
      <c r="F195" s="156">
        <f>F194/18</f>
        <v>0</v>
      </c>
    </row>
    <row r="196" spans="1:7">
      <c r="A196" s="153"/>
      <c r="B196" s="154"/>
      <c r="C196" s="155"/>
      <c r="D196" s="155"/>
      <c r="E196" s="222" t="s">
        <v>14</v>
      </c>
      <c r="F196" s="156">
        <f>+F194*0.18</f>
        <v>0</v>
      </c>
    </row>
    <row r="197" spans="1:7" ht="15" thickBot="1"/>
    <row r="198" spans="1:7" ht="15" thickBot="1">
      <c r="A198" s="580" t="s">
        <v>288</v>
      </c>
      <c r="B198" s="581"/>
      <c r="C198" s="581"/>
      <c r="D198" s="581"/>
      <c r="E198" s="581"/>
      <c r="F198" s="582"/>
    </row>
    <row r="199" spans="1:7" ht="15.6">
      <c r="A199" s="96" t="s">
        <v>29</v>
      </c>
      <c r="B199" s="97" t="s">
        <v>30</v>
      </c>
      <c r="C199" s="98" t="s">
        <v>17</v>
      </c>
      <c r="D199" s="98" t="s">
        <v>31</v>
      </c>
      <c r="E199" s="99" t="s">
        <v>32</v>
      </c>
      <c r="F199" s="77" t="s">
        <v>33</v>
      </c>
    </row>
    <row r="200" spans="1:7">
      <c r="A200" s="227" t="s">
        <v>236</v>
      </c>
      <c r="B200" s="557">
        <v>0.5</v>
      </c>
      <c r="C200" s="557" t="s">
        <v>7</v>
      </c>
      <c r="D200" s="103"/>
      <c r="E200" s="103"/>
      <c r="F200" s="103">
        <f>B200*E200</f>
        <v>0</v>
      </c>
    </row>
    <row r="201" spans="1:7">
      <c r="A201" s="232" t="s">
        <v>289</v>
      </c>
      <c r="B201" s="101">
        <v>1</v>
      </c>
      <c r="C201" s="102" t="s">
        <v>7</v>
      </c>
      <c r="D201" s="102">
        <v>1</v>
      </c>
      <c r="E201" s="103"/>
      <c r="F201" s="104">
        <f>B201*E201</f>
        <v>0</v>
      </c>
    </row>
    <row r="202" spans="1:7">
      <c r="A202" s="235" t="s">
        <v>290</v>
      </c>
      <c r="B202" s="234">
        <v>0.05</v>
      </c>
      <c r="C202" s="155"/>
      <c r="D202" s="155"/>
      <c r="E202" s="233"/>
      <c r="F202" s="104">
        <f>B202*E202</f>
        <v>0</v>
      </c>
    </row>
    <row r="203" spans="1:7" ht="15" thickBot="1">
      <c r="A203" s="100"/>
      <c r="B203" s="101"/>
      <c r="C203" s="102"/>
      <c r="D203" s="102"/>
      <c r="E203" s="105" t="s">
        <v>33</v>
      </c>
      <c r="F203" s="106">
        <f>SUM(F200:F202)</f>
        <v>0</v>
      </c>
    </row>
    <row r="204" spans="1:7" ht="15" thickBot="1">
      <c r="A204" s="580" t="s">
        <v>291</v>
      </c>
      <c r="B204" s="581"/>
      <c r="C204" s="581"/>
      <c r="D204" s="581"/>
      <c r="E204" s="581"/>
      <c r="F204" s="582"/>
    </row>
    <row r="205" spans="1:7" ht="15.6">
      <c r="A205" s="96" t="s">
        <v>29</v>
      </c>
      <c r="B205" s="97" t="s">
        <v>30</v>
      </c>
      <c r="C205" s="98" t="s">
        <v>17</v>
      </c>
      <c r="D205" s="98" t="s">
        <v>31</v>
      </c>
      <c r="E205" s="99" t="s">
        <v>32</v>
      </c>
      <c r="F205" s="77" t="s">
        <v>33</v>
      </c>
    </row>
    <row r="206" spans="1:7">
      <c r="A206" s="236" t="s">
        <v>295</v>
      </c>
      <c r="B206" s="237">
        <v>1</v>
      </c>
      <c r="C206" s="237" t="s">
        <v>292</v>
      </c>
      <c r="D206" s="237"/>
      <c r="E206" s="237"/>
      <c r="F206" s="237">
        <f>B206*E206</f>
        <v>0</v>
      </c>
      <c r="G206" s="237"/>
    </row>
    <row r="207" spans="1:7">
      <c r="A207" s="236" t="s">
        <v>293</v>
      </c>
      <c r="B207" s="237">
        <v>1</v>
      </c>
      <c r="C207" s="237" t="s">
        <v>322</v>
      </c>
      <c r="D207" s="237"/>
      <c r="E207" s="237"/>
      <c r="F207" s="237">
        <f>B207*E207</f>
        <v>0</v>
      </c>
      <c r="G207" s="237"/>
    </row>
    <row r="208" spans="1:7">
      <c r="A208" s="236" t="s">
        <v>691</v>
      </c>
      <c r="B208" s="237">
        <v>0.12</v>
      </c>
      <c r="C208" s="237"/>
      <c r="D208" s="237"/>
      <c r="E208" s="237"/>
      <c r="F208" s="237">
        <f>B208*E208</f>
        <v>0</v>
      </c>
      <c r="G208" s="237"/>
    </row>
    <row r="209" spans="1:7">
      <c r="A209" s="236" t="s">
        <v>294</v>
      </c>
      <c r="B209" s="237"/>
      <c r="C209" s="237"/>
      <c r="D209" s="237"/>
      <c r="E209" s="237"/>
      <c r="F209" s="237">
        <f>SUM(F206:F208)</f>
        <v>0</v>
      </c>
      <c r="G209" s="237"/>
    </row>
    <row r="210" spans="1:7">
      <c r="A210" s="238"/>
      <c r="B210" s="239"/>
      <c r="C210" s="239"/>
      <c r="D210" s="239"/>
      <c r="E210" s="239"/>
      <c r="F210" s="237"/>
      <c r="G210" s="239"/>
    </row>
    <row r="211" spans="1:7">
      <c r="B211" s="95"/>
      <c r="C211" s="95"/>
      <c r="D211" s="95"/>
      <c r="E211" s="95"/>
      <c r="F211" s="240"/>
      <c r="G211" s="95"/>
    </row>
    <row r="212" spans="1:7">
      <c r="A212" s="168" t="s">
        <v>214</v>
      </c>
      <c r="B212" s="169"/>
      <c r="C212" s="169"/>
      <c r="D212" s="169"/>
      <c r="E212" s="169"/>
      <c r="F212" s="169"/>
      <c r="G212" s="169"/>
    </row>
    <row r="213" spans="1:7">
      <c r="A213" s="171" t="s">
        <v>215</v>
      </c>
      <c r="B213" s="172">
        <v>1.0149999999999999</v>
      </c>
      <c r="C213" s="173" t="s">
        <v>74</v>
      </c>
      <c r="D213" s="174">
        <v>1500</v>
      </c>
      <c r="E213" s="175"/>
      <c r="F213" s="176">
        <f>B213*D213</f>
        <v>1522.4999999999998</v>
      </c>
      <c r="G213" s="177">
        <f>B213*E213</f>
        <v>0</v>
      </c>
    </row>
    <row r="214" spans="1:7" ht="15" thickBot="1">
      <c r="A214" s="171" t="s">
        <v>216</v>
      </c>
      <c r="B214" s="172">
        <v>2.5</v>
      </c>
      <c r="C214" s="173" t="s">
        <v>116</v>
      </c>
      <c r="D214" s="173">
        <v>273.89999999999998</v>
      </c>
      <c r="E214" s="175"/>
      <c r="F214" s="178">
        <f>B214*D214</f>
        <v>684.75</v>
      </c>
      <c r="G214" s="179">
        <f>B214*E214</f>
        <v>0</v>
      </c>
    </row>
    <row r="215" spans="1:7" ht="15" thickBot="1">
      <c r="D215" s="163"/>
      <c r="E215" s="164"/>
      <c r="F215" s="180">
        <f>SUM(F213:F214)</f>
        <v>2207.25</v>
      </c>
      <c r="G215" s="180">
        <f>SUM(G213:G214)</f>
        <v>0</v>
      </c>
    </row>
    <row r="216" spans="1:7">
      <c r="A216" s="168" t="s">
        <v>218</v>
      </c>
      <c r="D216" s="163"/>
      <c r="E216" s="164"/>
      <c r="F216" s="165"/>
      <c r="G216" s="95"/>
    </row>
    <row r="217" spans="1:7">
      <c r="A217" s="171" t="s">
        <v>219</v>
      </c>
      <c r="B217" s="183">
        <v>1.03</v>
      </c>
      <c r="C217" s="174" t="s">
        <v>74</v>
      </c>
      <c r="D217" s="174">
        <f>F215</f>
        <v>2207.25</v>
      </c>
      <c r="E217" s="175">
        <f>G215</f>
        <v>0</v>
      </c>
      <c r="F217" s="176">
        <f>B217*D217</f>
        <v>2273.4675000000002</v>
      </c>
      <c r="G217" s="177">
        <f>B217*E217</f>
        <v>0</v>
      </c>
    </row>
    <row r="218" spans="1:7">
      <c r="A218" s="171" t="s">
        <v>220</v>
      </c>
      <c r="B218" s="183">
        <v>9.11</v>
      </c>
      <c r="C218" s="174" t="s">
        <v>116</v>
      </c>
      <c r="D218" s="174">
        <v>385.6</v>
      </c>
      <c r="E218" s="175"/>
      <c r="F218" s="176">
        <f>B218*D218</f>
        <v>3512.8159999999998</v>
      </c>
      <c r="G218" s="177">
        <f>B218*E218</f>
        <v>0</v>
      </c>
    </row>
    <row r="219" spans="1:7">
      <c r="A219" s="171" t="s">
        <v>221</v>
      </c>
      <c r="B219" s="183">
        <v>45.24</v>
      </c>
      <c r="C219" s="174" t="s">
        <v>66</v>
      </c>
      <c r="D219" s="174">
        <v>1</v>
      </c>
      <c r="E219" s="175"/>
      <c r="F219" s="176">
        <f>B219*D219</f>
        <v>45.24</v>
      </c>
      <c r="G219" s="177">
        <v>0</v>
      </c>
    </row>
    <row r="220" spans="1:7" ht="15" thickBot="1">
      <c r="A220" s="171" t="s">
        <v>222</v>
      </c>
      <c r="B220" s="183">
        <v>1.1000000000000001</v>
      </c>
      <c r="C220" s="174" t="s">
        <v>74</v>
      </c>
      <c r="D220" s="174">
        <v>500</v>
      </c>
      <c r="E220" s="175"/>
      <c r="F220" s="178">
        <f>B220*D220</f>
        <v>550</v>
      </c>
      <c r="G220" s="179">
        <v>0</v>
      </c>
    </row>
    <row r="221" spans="1:7" ht="15" thickBot="1">
      <c r="A221" s="166"/>
      <c r="B221" s="167"/>
      <c r="C221" s="162"/>
      <c r="D221" s="163"/>
      <c r="E221" s="164"/>
      <c r="F221" s="184">
        <f>SUM(F217:F220)</f>
        <v>6381.5234999999993</v>
      </c>
      <c r="G221" s="185">
        <f>SUM(G217:G220)</f>
        <v>0</v>
      </c>
    </row>
    <row r="222" spans="1:7">
      <c r="A222" s="181" t="s">
        <v>217</v>
      </c>
      <c r="B222" s="186"/>
      <c r="C222" s="162"/>
      <c r="D222" s="163"/>
      <c r="E222" s="164"/>
      <c r="F222" s="165">
        <f>F221+G221</f>
        <v>6381.5234999999993</v>
      </c>
      <c r="G222" s="95"/>
    </row>
    <row r="223" spans="1:7">
      <c r="B223" s="95"/>
      <c r="C223" s="95"/>
      <c r="D223" s="95"/>
      <c r="E223" s="95"/>
      <c r="F223" s="240"/>
      <c r="G223" s="95"/>
    </row>
    <row r="224" spans="1:7" ht="15.6">
      <c r="A224" s="187" t="s">
        <v>223</v>
      </c>
      <c r="B224" s="188">
        <v>1</v>
      </c>
      <c r="C224" s="188" t="s">
        <v>20</v>
      </c>
      <c r="D224" s="189"/>
      <c r="E224" s="190"/>
      <c r="F224" s="191"/>
      <c r="G224" s="95"/>
    </row>
    <row r="225" spans="1:7" ht="17.399999999999999">
      <c r="A225" s="220" t="s">
        <v>224</v>
      </c>
      <c r="B225" s="221"/>
      <c r="C225" s="221"/>
      <c r="D225" s="219"/>
      <c r="E225" s="194"/>
      <c r="F225" s="195"/>
      <c r="G225" s="95"/>
    </row>
    <row r="226" spans="1:7" ht="28.2">
      <c r="A226" s="196" t="s">
        <v>225</v>
      </c>
      <c r="B226" s="197">
        <v>6.4999999999999997E-3</v>
      </c>
      <c r="C226" s="175" t="s">
        <v>74</v>
      </c>
      <c r="D226" s="198">
        <f>F221</f>
        <v>6381.5234999999993</v>
      </c>
      <c r="E226" s="199">
        <f>G221</f>
        <v>0</v>
      </c>
      <c r="F226" s="200">
        <f>+B226*(D226+E226)</f>
        <v>41.479902749999994</v>
      </c>
      <c r="G226" s="95"/>
    </row>
    <row r="227" spans="1:7">
      <c r="A227" s="192" t="s">
        <v>186</v>
      </c>
      <c r="B227" s="193"/>
      <c r="C227" s="193"/>
      <c r="D227" s="194"/>
      <c r="E227" s="194"/>
      <c r="F227" s="201"/>
      <c r="G227" s="95"/>
    </row>
    <row r="228" spans="1:7" ht="15">
      <c r="A228" s="196" t="s">
        <v>186</v>
      </c>
      <c r="B228" s="202">
        <v>1</v>
      </c>
      <c r="C228" s="175" t="s">
        <v>8</v>
      </c>
      <c r="D228" s="198">
        <v>50</v>
      </c>
      <c r="E228" s="199"/>
      <c r="F228" s="200">
        <f>(B228+D228)</f>
        <v>51</v>
      </c>
      <c r="G228" s="95"/>
    </row>
    <row r="229" spans="1:7" ht="15.6">
      <c r="A229" s="203"/>
      <c r="B229" s="204"/>
      <c r="C229" s="204"/>
      <c r="D229" s="205" t="s">
        <v>20</v>
      </c>
      <c r="E229" s="206"/>
      <c r="F229" s="207">
        <f>SUM(F225:F228)</f>
        <v>92.479902749999994</v>
      </c>
      <c r="G229" s="95"/>
    </row>
    <row r="230" spans="1:7">
      <c r="B230" s="95"/>
      <c r="C230" s="95"/>
      <c r="D230" s="95"/>
      <c r="E230" s="95"/>
      <c r="F230" s="240"/>
      <c r="G230" s="95"/>
    </row>
    <row r="231" spans="1:7" ht="15.6">
      <c r="A231" s="187" t="s">
        <v>307</v>
      </c>
      <c r="B231" s="247">
        <v>1</v>
      </c>
      <c r="C231" s="247" t="s">
        <v>20</v>
      </c>
      <c r="D231" s="189"/>
      <c r="E231" s="190"/>
      <c r="F231" s="191"/>
      <c r="G231" s="95"/>
    </row>
    <row r="232" spans="1:7">
      <c r="A232" s="248" t="s">
        <v>224</v>
      </c>
      <c r="B232" s="249"/>
      <c r="C232" s="249"/>
      <c r="D232" s="249"/>
      <c r="E232" s="249"/>
      <c r="F232" s="250"/>
      <c r="G232" s="95"/>
    </row>
    <row r="233" spans="1:7" ht="15">
      <c r="A233" s="251" t="s">
        <v>308</v>
      </c>
      <c r="B233" s="252">
        <v>0.02</v>
      </c>
      <c r="C233" s="253" t="s">
        <v>74</v>
      </c>
      <c r="D233" s="254">
        <f>D226</f>
        <v>6381.5234999999993</v>
      </c>
      <c r="E233" s="255">
        <f>E226</f>
        <v>0</v>
      </c>
      <c r="F233" s="256">
        <f>B233*(D233+E233)</f>
        <v>127.63046999999999</v>
      </c>
      <c r="G233" s="95"/>
    </row>
    <row r="234" spans="1:7" ht="15">
      <c r="A234" s="251" t="s">
        <v>309</v>
      </c>
      <c r="B234" s="257">
        <v>3.3300000000000003E-2</v>
      </c>
      <c r="C234" s="253" t="s">
        <v>194</v>
      </c>
      <c r="D234" s="254">
        <v>90</v>
      </c>
      <c r="E234" s="255"/>
      <c r="F234" s="256">
        <f>B234*(D234+E234)</f>
        <v>2.9970000000000003</v>
      </c>
      <c r="G234" s="95"/>
    </row>
    <row r="235" spans="1:7">
      <c r="A235" s="248" t="s">
        <v>186</v>
      </c>
      <c r="B235" s="249"/>
      <c r="C235" s="249"/>
      <c r="D235" s="258"/>
      <c r="E235" s="259"/>
      <c r="F235" s="250"/>
      <c r="G235" s="95"/>
    </row>
    <row r="236" spans="1:7" ht="15">
      <c r="A236" s="251" t="s">
        <v>186</v>
      </c>
      <c r="B236" s="257">
        <v>1</v>
      </c>
      <c r="C236" s="253" t="s">
        <v>8</v>
      </c>
      <c r="D236" s="254">
        <f>190.09*1.2</f>
        <v>228.108</v>
      </c>
      <c r="E236" s="255"/>
      <c r="F236" s="256">
        <f>B236*(D236+E236)</f>
        <v>228.108</v>
      </c>
      <c r="G236" s="95"/>
    </row>
    <row r="237" spans="1:7">
      <c r="A237" s="248" t="s">
        <v>310</v>
      </c>
      <c r="B237" s="249"/>
      <c r="C237" s="249"/>
      <c r="D237" s="258"/>
      <c r="E237" s="259"/>
      <c r="F237" s="250"/>
      <c r="G237" s="95"/>
    </row>
    <row r="238" spans="1:7" ht="15">
      <c r="A238" s="251" t="s">
        <v>311</v>
      </c>
      <c r="B238" s="257">
        <v>1</v>
      </c>
      <c r="C238" s="253" t="s">
        <v>8</v>
      </c>
      <c r="D238" s="254">
        <v>100</v>
      </c>
      <c r="E238" s="255"/>
      <c r="F238" s="256">
        <f>B238*D238</f>
        <v>100</v>
      </c>
      <c r="G238" s="95"/>
    </row>
    <row r="239" spans="1:7" ht="15">
      <c r="A239" s="251"/>
      <c r="B239" s="257"/>
      <c r="C239" s="253"/>
      <c r="D239" s="254">
        <f>SUM(D233:D238)</f>
        <v>6799.6314999999995</v>
      </c>
      <c r="E239" s="255">
        <f>SUM(E233:E238)</f>
        <v>0</v>
      </c>
      <c r="F239" s="256"/>
      <c r="G239" s="95"/>
    </row>
    <row r="240" spans="1:7" ht="15">
      <c r="A240" s="251"/>
      <c r="B240" s="257"/>
      <c r="C240" s="253"/>
      <c r="D240" s="254"/>
      <c r="E240" s="255"/>
      <c r="F240" s="256"/>
      <c r="G240" s="95"/>
    </row>
    <row r="241" spans="1:7" ht="15.6">
      <c r="A241" s="203"/>
      <c r="B241" s="204"/>
      <c r="C241" s="204"/>
      <c r="D241" s="205" t="s">
        <v>20</v>
      </c>
      <c r="E241" s="206"/>
      <c r="F241" s="207">
        <f>SUM(F233:F238)</f>
        <v>458.73546999999996</v>
      </c>
      <c r="G241" s="95"/>
    </row>
    <row r="242" spans="1:7">
      <c r="B242" s="95"/>
      <c r="C242" s="95"/>
      <c r="D242" s="95"/>
      <c r="E242" s="95"/>
      <c r="F242" s="240"/>
      <c r="G242" s="95"/>
    </row>
    <row r="243" spans="1:7" ht="15.6">
      <c r="A243" s="187" t="s">
        <v>282</v>
      </c>
      <c r="B243" s="247">
        <v>1</v>
      </c>
      <c r="C243" s="247" t="s">
        <v>20</v>
      </c>
      <c r="D243" s="189"/>
      <c r="E243" s="190"/>
      <c r="F243" s="191"/>
      <c r="G243" s="95"/>
    </row>
    <row r="244" spans="1:7">
      <c r="A244" s="248" t="s">
        <v>224</v>
      </c>
      <c r="B244" s="249"/>
      <c r="C244" s="249"/>
      <c r="D244" s="249"/>
      <c r="E244" s="249"/>
      <c r="F244" s="250"/>
      <c r="G244" s="95"/>
    </row>
    <row r="245" spans="1:7" ht="15">
      <c r="A245" s="251" t="s">
        <v>312</v>
      </c>
      <c r="B245" s="252">
        <v>6.4999999999999997E-3</v>
      </c>
      <c r="C245" s="253" t="s">
        <v>74</v>
      </c>
      <c r="D245" s="254">
        <f>D233</f>
        <v>6381.5234999999993</v>
      </c>
      <c r="E245" s="255">
        <f>E233</f>
        <v>0</v>
      </c>
      <c r="F245" s="256">
        <f>B245*(D245+E245)</f>
        <v>41.479902749999994</v>
      </c>
      <c r="G245" s="95"/>
    </row>
    <row r="246" spans="1:7" ht="15">
      <c r="A246" s="251" t="s">
        <v>309</v>
      </c>
      <c r="B246" s="257">
        <v>3.3300000000000003E-2</v>
      </c>
      <c r="C246" s="253" t="s">
        <v>194</v>
      </c>
      <c r="D246" s="254">
        <v>150</v>
      </c>
      <c r="E246" s="255"/>
      <c r="F246" s="256">
        <f>B246*(D246+E246)</f>
        <v>4.9950000000000001</v>
      </c>
      <c r="G246" s="95"/>
    </row>
    <row r="247" spans="1:7">
      <c r="A247" s="248" t="s">
        <v>186</v>
      </c>
      <c r="B247" s="249"/>
      <c r="C247" s="249"/>
      <c r="D247" s="258"/>
      <c r="E247" s="259"/>
      <c r="F247" s="250"/>
      <c r="G247" s="95"/>
    </row>
    <row r="248" spans="1:7" ht="15">
      <c r="A248" s="251" t="s">
        <v>313</v>
      </c>
      <c r="B248" s="257">
        <v>1</v>
      </c>
      <c r="C248" s="253" t="s">
        <v>278</v>
      </c>
      <c r="D248" s="260">
        <v>125</v>
      </c>
      <c r="E248" s="255"/>
      <c r="F248" s="256">
        <f>B248*(D248+E248)</f>
        <v>125</v>
      </c>
      <c r="G248" s="95"/>
    </row>
    <row r="249" spans="1:7" ht="15.6">
      <c r="A249" s="203"/>
      <c r="B249" s="204"/>
      <c r="C249" s="204"/>
      <c r="D249" s="205" t="s">
        <v>110</v>
      </c>
      <c r="E249" s="206"/>
      <c r="F249" s="207">
        <f>SUM(F245:F248)</f>
        <v>171.47490274999998</v>
      </c>
      <c r="G249" s="95"/>
    </row>
    <row r="250" spans="1:7" ht="15" thickBot="1">
      <c r="B250" s="95"/>
      <c r="C250" s="95"/>
      <c r="D250" s="95"/>
      <c r="E250" s="95"/>
      <c r="F250" s="240"/>
      <c r="G250" s="95"/>
    </row>
    <row r="251" spans="1:7" ht="15" thickBot="1">
      <c r="A251" s="591" t="s">
        <v>58</v>
      </c>
      <c r="B251" s="592"/>
      <c r="C251" s="592"/>
      <c r="D251" s="592"/>
      <c r="E251" s="592"/>
      <c r="F251" s="593"/>
      <c r="G251" s="95"/>
    </row>
    <row r="252" spans="1:7" ht="15.6">
      <c r="A252" s="96" t="s">
        <v>29</v>
      </c>
      <c r="B252" s="97" t="s">
        <v>30</v>
      </c>
      <c r="C252" s="98" t="s">
        <v>17</v>
      </c>
      <c r="D252" s="98" t="s">
        <v>31</v>
      </c>
      <c r="E252" s="99" t="s">
        <v>32</v>
      </c>
      <c r="F252" s="77" t="s">
        <v>33</v>
      </c>
      <c r="G252" s="95"/>
    </row>
    <row r="253" spans="1:7">
      <c r="A253" s="100" t="s">
        <v>60</v>
      </c>
      <c r="B253" s="101">
        <v>1</v>
      </c>
      <c r="C253" s="102" t="s">
        <v>17</v>
      </c>
      <c r="D253" s="102">
        <v>1</v>
      </c>
      <c r="E253" s="151"/>
      <c r="F253" s="104">
        <f>E253*B253</f>
        <v>0</v>
      </c>
      <c r="G253" s="95"/>
    </row>
    <row r="254" spans="1:7">
      <c r="A254" s="100"/>
      <c r="B254" s="101"/>
      <c r="C254" s="102"/>
      <c r="D254" s="102"/>
      <c r="E254" s="105" t="s">
        <v>59</v>
      </c>
      <c r="F254" s="106">
        <f>SUM(F253:F253)</f>
        <v>0</v>
      </c>
      <c r="G254" s="95"/>
    </row>
    <row r="255" spans="1:7">
      <c r="A255" s="100"/>
      <c r="B255" s="101"/>
      <c r="C255" s="102"/>
      <c r="D255" s="102"/>
      <c r="E255" s="105" t="s">
        <v>14</v>
      </c>
      <c r="F255" s="106">
        <f>+F254*0.18</f>
        <v>0</v>
      </c>
      <c r="G255" s="95"/>
    </row>
    <row r="256" spans="1:7">
      <c r="A256" s="348"/>
      <c r="B256" s="349"/>
      <c r="C256" s="350"/>
      <c r="D256" s="351"/>
      <c r="E256" s="110"/>
      <c r="F256" s="111"/>
      <c r="G256" s="95"/>
    </row>
    <row r="257" spans="1:7">
      <c r="A257" s="352" t="s">
        <v>440</v>
      </c>
      <c r="B257" s="177"/>
      <c r="C257" s="177">
        <f t="shared" ref="C257:C263" si="2">0.18*B257</f>
        <v>0</v>
      </c>
      <c r="D257" s="353">
        <f>B257+C257</f>
        <v>0</v>
      </c>
      <c r="E257" s="110"/>
      <c r="F257" s="111"/>
      <c r="G257" s="95"/>
    </row>
    <row r="258" spans="1:7">
      <c r="A258" s="352" t="s">
        <v>441</v>
      </c>
      <c r="B258" s="177"/>
      <c r="C258" s="177">
        <f t="shared" si="2"/>
        <v>0</v>
      </c>
      <c r="D258" s="353">
        <f t="shared" ref="D258:D263" si="3">B258+C258</f>
        <v>0</v>
      </c>
      <c r="E258" s="110"/>
      <c r="F258" s="111"/>
      <c r="G258" s="95"/>
    </row>
    <row r="259" spans="1:7">
      <c r="A259" s="238" t="s">
        <v>466</v>
      </c>
      <c r="B259" s="239"/>
      <c r="C259" s="177">
        <f t="shared" si="2"/>
        <v>0</v>
      </c>
      <c r="D259" s="353">
        <f t="shared" si="3"/>
        <v>0</v>
      </c>
      <c r="E259" s="110"/>
      <c r="F259" s="111">
        <f>1350/1.18</f>
        <v>1144.0677966101696</v>
      </c>
      <c r="G259" s="95"/>
    </row>
    <row r="260" spans="1:7">
      <c r="A260" s="352" t="s">
        <v>442</v>
      </c>
      <c r="B260" s="177"/>
      <c r="C260" s="177">
        <f t="shared" si="2"/>
        <v>0</v>
      </c>
      <c r="D260" s="353">
        <f t="shared" si="3"/>
        <v>0</v>
      </c>
      <c r="E260" s="110"/>
      <c r="F260" s="111"/>
      <c r="G260" s="95"/>
    </row>
    <row r="261" spans="1:7">
      <c r="A261" s="352" t="s">
        <v>443</v>
      </c>
      <c r="B261" s="177"/>
      <c r="C261" s="177">
        <f t="shared" si="2"/>
        <v>0</v>
      </c>
      <c r="D261" s="353">
        <f t="shared" si="3"/>
        <v>0</v>
      </c>
      <c r="E261" s="110"/>
      <c r="F261" s="111"/>
      <c r="G261" s="95"/>
    </row>
    <row r="262" spans="1:7">
      <c r="A262" s="352" t="s">
        <v>444</v>
      </c>
      <c r="B262" s="177"/>
      <c r="C262" s="177">
        <f t="shared" si="2"/>
        <v>0</v>
      </c>
      <c r="D262" s="353">
        <f t="shared" si="3"/>
        <v>0</v>
      </c>
      <c r="E262" s="110"/>
      <c r="F262" s="111"/>
      <c r="G262" s="95"/>
    </row>
    <row r="263" spans="1:7">
      <c r="A263" s="352" t="s">
        <v>445</v>
      </c>
      <c r="B263" s="177"/>
      <c r="C263" s="177">
        <f t="shared" si="2"/>
        <v>0</v>
      </c>
      <c r="D263" s="353">
        <f t="shared" si="3"/>
        <v>0</v>
      </c>
      <c r="E263" s="110"/>
      <c r="F263" s="111"/>
      <c r="G263" s="95"/>
    </row>
    <row r="264" spans="1:7">
      <c r="A264" s="107"/>
      <c r="B264" s="108"/>
      <c r="C264" s="109"/>
      <c r="D264" s="109"/>
      <c r="E264" s="110"/>
      <c r="F264" s="111"/>
      <c r="G264" s="95"/>
    </row>
    <row r="265" spans="1:7" ht="15.6">
      <c r="A265" s="96" t="s">
        <v>29</v>
      </c>
      <c r="B265" s="97" t="s">
        <v>30</v>
      </c>
      <c r="C265" s="98" t="s">
        <v>17</v>
      </c>
      <c r="D265" s="98" t="s">
        <v>31</v>
      </c>
      <c r="E265" s="99" t="s">
        <v>32</v>
      </c>
      <c r="F265" s="77" t="s">
        <v>33</v>
      </c>
      <c r="G265" s="95"/>
    </row>
    <row r="266" spans="1:7">
      <c r="A266" s="333" t="s">
        <v>436</v>
      </c>
      <c r="B266" s="334">
        <v>1</v>
      </c>
      <c r="C266" s="334" t="s">
        <v>74</v>
      </c>
      <c r="D266" s="335"/>
      <c r="E266" s="335"/>
      <c r="F266" s="336">
        <v>6861.662080000001</v>
      </c>
      <c r="G266" s="95"/>
    </row>
    <row r="267" spans="1:7">
      <c r="A267" s="337"/>
      <c r="B267" s="338"/>
      <c r="C267" s="338"/>
      <c r="D267" s="339"/>
      <c r="E267" s="339"/>
      <c r="F267" s="340"/>
      <c r="G267" s="95"/>
    </row>
    <row r="268" spans="1:7">
      <c r="A268" s="341" t="s">
        <v>299</v>
      </c>
      <c r="B268" s="342">
        <v>11.51</v>
      </c>
      <c r="C268" s="343" t="s">
        <v>116</v>
      </c>
      <c r="D268" s="344">
        <f>D257</f>
        <v>0</v>
      </c>
      <c r="E268" s="344"/>
      <c r="F268" s="343">
        <f>B268*(D268+E268)</f>
        <v>0</v>
      </c>
      <c r="G268" s="95"/>
    </row>
    <row r="269" spans="1:7">
      <c r="A269" s="341" t="s">
        <v>437</v>
      </c>
      <c r="B269" s="342">
        <v>1</v>
      </c>
      <c r="C269" s="343" t="s">
        <v>74</v>
      </c>
      <c r="D269" s="344">
        <f>D259</f>
        <v>0</v>
      </c>
      <c r="E269" s="344">
        <f>0.18*D269</f>
        <v>0</v>
      </c>
      <c r="F269" s="343">
        <f>B269*(D269+E269)</f>
        <v>0</v>
      </c>
      <c r="G269" s="95"/>
    </row>
    <row r="270" spans="1:7">
      <c r="A270" s="341" t="s">
        <v>303</v>
      </c>
      <c r="B270" s="342">
        <v>69.040000000000006</v>
      </c>
      <c r="C270" s="342" t="s">
        <v>66</v>
      </c>
      <c r="D270" s="344"/>
      <c r="E270" s="344"/>
      <c r="F270" s="343">
        <f>B270*(D270+E270)</f>
        <v>0</v>
      </c>
      <c r="G270" s="95"/>
    </row>
    <row r="271" spans="1:7">
      <c r="A271" s="341" t="s">
        <v>438</v>
      </c>
      <c r="B271" s="342">
        <v>1.05</v>
      </c>
      <c r="C271" s="343" t="s">
        <v>74</v>
      </c>
      <c r="D271" s="345"/>
      <c r="E271" s="345"/>
      <c r="F271" s="343">
        <f>B271*(D271+E271)</f>
        <v>0</v>
      </c>
      <c r="G271" s="95"/>
    </row>
    <row r="272" spans="1:7">
      <c r="A272" s="341"/>
      <c r="B272" s="342"/>
      <c r="C272" s="343"/>
      <c r="D272" s="345"/>
      <c r="E272" s="345"/>
      <c r="F272" s="343"/>
      <c r="G272" s="95"/>
    </row>
    <row r="273" spans="1:9">
      <c r="A273" s="341"/>
      <c r="B273" s="342"/>
      <c r="C273" s="95" t="s">
        <v>439</v>
      </c>
      <c r="D273" s="345"/>
      <c r="E273" s="345"/>
      <c r="F273" s="346">
        <f>SUM(F268:F271)</f>
        <v>0</v>
      </c>
      <c r="G273" s="95"/>
    </row>
    <row r="274" spans="1:9">
      <c r="A274" s="107"/>
      <c r="B274" s="108"/>
      <c r="C274" s="109"/>
      <c r="D274" s="109"/>
      <c r="E274" s="110"/>
      <c r="F274" s="111"/>
      <c r="G274" s="95"/>
    </row>
    <row r="275" spans="1:9">
      <c r="A275" s="107"/>
      <c r="B275" s="108"/>
      <c r="C275" s="109"/>
      <c r="D275" s="109"/>
      <c r="E275" s="110"/>
      <c r="F275" s="111"/>
      <c r="G275" s="95"/>
    </row>
    <row r="276" spans="1:9">
      <c r="A276" s="241" t="s">
        <v>467</v>
      </c>
      <c r="B276" s="334"/>
      <c r="C276" s="334"/>
      <c r="D276" s="335"/>
      <c r="E276" s="335"/>
      <c r="F276" s="242"/>
      <c r="G276" s="242"/>
    </row>
    <row r="277" spans="1:9">
      <c r="A277" s="354" t="s">
        <v>157</v>
      </c>
      <c r="B277" s="355" t="s">
        <v>4</v>
      </c>
      <c r="C277" s="356" t="s">
        <v>5</v>
      </c>
      <c r="D277" s="357" t="s">
        <v>446</v>
      </c>
      <c r="E277" s="355" t="s">
        <v>159</v>
      </c>
    </row>
    <row r="278" spans="1:9">
      <c r="A278" s="358" t="s">
        <v>298</v>
      </c>
      <c r="B278" s="359"/>
      <c r="C278" s="359"/>
      <c r="D278" s="360"/>
      <c r="E278" s="360"/>
      <c r="F278" s="368"/>
      <c r="G278" s="368"/>
    </row>
    <row r="279" spans="1:9">
      <c r="A279" s="361" t="s">
        <v>299</v>
      </c>
      <c r="B279" s="362">
        <v>6.4</v>
      </c>
      <c r="C279" s="363" t="s">
        <v>116</v>
      </c>
      <c r="D279" s="364">
        <f>D268</f>
        <v>0</v>
      </c>
      <c r="E279" s="364">
        <f>B279*D279</f>
        <v>0</v>
      </c>
      <c r="F279" s="369"/>
      <c r="G279" s="369"/>
    </row>
    <row r="280" spans="1:9">
      <c r="A280" s="361" t="s">
        <v>483</v>
      </c>
      <c r="B280" s="365">
        <v>0.52</v>
      </c>
      <c r="C280" s="363" t="s">
        <v>301</v>
      </c>
      <c r="D280" s="364"/>
      <c r="E280" s="364">
        <f t="shared" ref="E280:E283" si="4">B280*D280</f>
        <v>0</v>
      </c>
      <c r="F280" s="369"/>
      <c r="G280" s="369"/>
    </row>
    <row r="281" spans="1:9">
      <c r="A281" s="361" t="s">
        <v>302</v>
      </c>
      <c r="B281" s="365">
        <v>0.83</v>
      </c>
      <c r="C281" s="363" t="s">
        <v>301</v>
      </c>
      <c r="D281" s="364">
        <f>D260</f>
        <v>0</v>
      </c>
      <c r="E281" s="364">
        <f t="shared" si="4"/>
        <v>0</v>
      </c>
      <c r="F281" s="369"/>
      <c r="G281" s="369"/>
    </row>
    <row r="282" spans="1:9">
      <c r="A282" s="361" t="s">
        <v>303</v>
      </c>
      <c r="B282" s="362">
        <v>60</v>
      </c>
      <c r="C282" s="362" t="s">
        <v>66</v>
      </c>
      <c r="D282" s="364"/>
      <c r="E282" s="364">
        <f t="shared" si="4"/>
        <v>0</v>
      </c>
      <c r="F282" s="369"/>
      <c r="G282" s="369"/>
    </row>
    <row r="283" spans="1:9">
      <c r="A283" s="361" t="s">
        <v>484</v>
      </c>
      <c r="B283" s="362">
        <v>1.35</v>
      </c>
      <c r="C283" s="362" t="s">
        <v>74</v>
      </c>
      <c r="D283" s="364"/>
      <c r="E283" s="364">
        <f t="shared" si="4"/>
        <v>0</v>
      </c>
      <c r="F283" s="369"/>
      <c r="G283" s="369"/>
    </row>
    <row r="284" spans="1:9" ht="28.2">
      <c r="A284" s="358"/>
      <c r="B284" s="359"/>
      <c r="C284" s="366" t="s">
        <v>304</v>
      </c>
      <c r="D284" s="367"/>
      <c r="E284" s="367">
        <f>SUM(E279:E283)</f>
        <v>0</v>
      </c>
      <c r="F284" s="368"/>
      <c r="G284" s="368"/>
    </row>
    <row r="285" spans="1:9">
      <c r="A285" s="107"/>
      <c r="B285" s="108"/>
      <c r="C285" s="109"/>
      <c r="D285" s="109"/>
      <c r="E285" s="110"/>
      <c r="F285" s="111"/>
      <c r="G285" s="95"/>
    </row>
    <row r="286" spans="1:9">
      <c r="A286" s="241" t="s">
        <v>448</v>
      </c>
      <c r="B286" s="334"/>
      <c r="C286" s="334"/>
      <c r="D286" s="335"/>
      <c r="E286" s="335"/>
      <c r="F286" s="242"/>
      <c r="G286" s="242"/>
    </row>
    <row r="287" spans="1:9">
      <c r="A287" s="372" t="s">
        <v>449</v>
      </c>
      <c r="B287" s="373"/>
      <c r="C287" s="374"/>
      <c r="D287" s="375"/>
      <c r="E287" s="311"/>
      <c r="F287" s="370"/>
      <c r="G287" s="340"/>
      <c r="H287" s="95"/>
      <c r="I287" s="282"/>
    </row>
    <row r="288" spans="1:9">
      <c r="A288" s="376"/>
      <c r="B288" s="373"/>
      <c r="C288" s="374"/>
      <c r="D288" s="375"/>
      <c r="E288" s="311"/>
      <c r="F288" s="370"/>
      <c r="G288" s="95"/>
      <c r="H288" s="282"/>
      <c r="I288" s="95"/>
    </row>
    <row r="289" spans="1:9">
      <c r="A289" s="372" t="s">
        <v>450</v>
      </c>
      <c r="B289" s="377">
        <v>2.4E-2</v>
      </c>
      <c r="C289" s="378" t="s">
        <v>192</v>
      </c>
      <c r="D289" s="379"/>
      <c r="E289" s="380">
        <f>PRODUCT(B289:D289)</f>
        <v>2.4E-2</v>
      </c>
      <c r="G289" s="95"/>
      <c r="H289" s="282"/>
      <c r="I289" s="95"/>
    </row>
    <row r="290" spans="1:9">
      <c r="A290" s="372" t="s">
        <v>451</v>
      </c>
      <c r="B290" s="381">
        <v>4.8000000000000001E-2</v>
      </c>
      <c r="C290" s="378" t="s">
        <v>452</v>
      </c>
      <c r="D290" s="382"/>
      <c r="E290" s="380">
        <f>PRODUCT(B290:D290)</f>
        <v>4.8000000000000001E-2</v>
      </c>
      <c r="G290" s="95"/>
      <c r="H290" s="95"/>
      <c r="I290" s="95"/>
    </row>
    <row r="291" spans="1:9">
      <c r="A291" s="372" t="s">
        <v>453</v>
      </c>
      <c r="B291" s="381">
        <v>13</v>
      </c>
      <c r="C291" s="378" t="s">
        <v>423</v>
      </c>
      <c r="D291" s="382"/>
      <c r="E291" s="380">
        <f>PRODUCT(B291:D291)</f>
        <v>13</v>
      </c>
      <c r="G291" s="95"/>
      <c r="H291" s="95"/>
      <c r="I291" s="95"/>
    </row>
    <row r="292" spans="1:9">
      <c r="A292" s="372" t="s">
        <v>454</v>
      </c>
      <c r="B292" s="381">
        <v>0.15</v>
      </c>
      <c r="C292" s="378" t="s">
        <v>455</v>
      </c>
      <c r="D292" s="382"/>
      <c r="E292" s="380">
        <f>PRODUCT(B292:D292)</f>
        <v>0.15</v>
      </c>
      <c r="G292" s="95"/>
      <c r="H292" s="95"/>
      <c r="I292" s="95"/>
    </row>
    <row r="293" spans="1:9">
      <c r="A293" s="372" t="s">
        <v>456</v>
      </c>
      <c r="B293" s="377">
        <v>2.4E-2</v>
      </c>
      <c r="C293" s="378" t="s">
        <v>457</v>
      </c>
      <c r="D293" s="382"/>
      <c r="E293" s="380">
        <f t="shared" ref="E293:E299" si="5">PRODUCT(B293:D293)</f>
        <v>2.4E-2</v>
      </c>
      <c r="G293" s="95"/>
      <c r="H293" s="95"/>
      <c r="I293" s="347"/>
    </row>
    <row r="294" spans="1:9">
      <c r="A294" s="372" t="s">
        <v>458</v>
      </c>
      <c r="B294" s="377">
        <v>3.1199999999999999E-2</v>
      </c>
      <c r="C294" s="378" t="s">
        <v>457</v>
      </c>
      <c r="D294" s="382"/>
      <c r="E294" s="380">
        <f t="shared" si="5"/>
        <v>3.1199999999999999E-2</v>
      </c>
      <c r="G294" s="95"/>
      <c r="H294" s="95"/>
    </row>
    <row r="295" spans="1:9">
      <c r="A295" s="372" t="s">
        <v>460</v>
      </c>
      <c r="B295" s="381">
        <v>13</v>
      </c>
      <c r="C295" s="378" t="s">
        <v>423</v>
      </c>
      <c r="D295" s="382"/>
      <c r="E295" s="380">
        <f t="shared" si="5"/>
        <v>13</v>
      </c>
      <c r="G295" s="95"/>
    </row>
    <row r="296" spans="1:9">
      <c r="A296" s="372" t="s">
        <v>461</v>
      </c>
      <c r="B296" s="381">
        <v>13</v>
      </c>
      <c r="C296" s="378" t="s">
        <v>423</v>
      </c>
      <c r="D296" s="382"/>
      <c r="E296" s="380">
        <f t="shared" si="5"/>
        <v>13</v>
      </c>
      <c r="G296" s="95"/>
    </row>
    <row r="297" spans="1:9">
      <c r="A297" s="372" t="s">
        <v>462</v>
      </c>
      <c r="B297" s="381">
        <v>13</v>
      </c>
      <c r="C297" s="378" t="s">
        <v>463</v>
      </c>
      <c r="D297" s="382"/>
      <c r="E297" s="380">
        <f t="shared" si="5"/>
        <v>13</v>
      </c>
      <c r="G297" s="95"/>
    </row>
    <row r="298" spans="1:9">
      <c r="A298" s="372" t="s">
        <v>464</v>
      </c>
      <c r="B298" s="381">
        <v>13</v>
      </c>
      <c r="C298" s="378" t="s">
        <v>463</v>
      </c>
      <c r="D298" s="382"/>
      <c r="E298" s="380">
        <f t="shared" si="5"/>
        <v>13</v>
      </c>
      <c r="G298" s="95"/>
    </row>
    <row r="299" spans="1:9">
      <c r="A299" s="387" t="s">
        <v>468</v>
      </c>
      <c r="B299" s="381">
        <v>1</v>
      </c>
      <c r="C299" s="378" t="s">
        <v>107</v>
      </c>
      <c r="D299" s="382"/>
      <c r="E299" s="380">
        <f t="shared" si="5"/>
        <v>1</v>
      </c>
      <c r="G299" s="95"/>
    </row>
    <row r="300" spans="1:9">
      <c r="A300" s="386"/>
      <c r="B300" s="383"/>
      <c r="C300" s="377"/>
      <c r="D300" s="305"/>
      <c r="E300" s="305"/>
      <c r="G300" s="95"/>
    </row>
    <row r="301" spans="1:9">
      <c r="A301" s="372"/>
      <c r="B301" s="383"/>
      <c r="C301" s="377"/>
      <c r="D301" s="384" t="s">
        <v>465</v>
      </c>
      <c r="E301" s="385">
        <f>SUM(E289:E299)</f>
        <v>66.277199999999993</v>
      </c>
      <c r="G301" s="95"/>
    </row>
    <row r="302" spans="1:9" ht="16.2" customHeight="1">
      <c r="A302" s="583" t="s">
        <v>501</v>
      </c>
      <c r="B302" s="584"/>
      <c r="C302" s="584"/>
      <c r="D302" s="371"/>
      <c r="E302" s="314">
        <v>2500</v>
      </c>
      <c r="G302" s="95"/>
    </row>
    <row r="303" spans="1:9">
      <c r="A303" s="241" t="s">
        <v>470</v>
      </c>
      <c r="B303" s="334"/>
      <c r="C303" s="334"/>
      <c r="D303" s="335"/>
      <c r="E303" s="335"/>
      <c r="G303" s="95"/>
    </row>
    <row r="304" spans="1:9">
      <c r="A304" s="354" t="s">
        <v>157</v>
      </c>
      <c r="B304" s="355" t="s">
        <v>4</v>
      </c>
      <c r="C304" s="356" t="s">
        <v>5</v>
      </c>
      <c r="D304" s="357" t="s">
        <v>446</v>
      </c>
      <c r="E304" s="355" t="s">
        <v>159</v>
      </c>
      <c r="G304" s="95"/>
    </row>
    <row r="305" spans="1:7">
      <c r="A305" s="358" t="s">
        <v>298</v>
      </c>
      <c r="B305" s="359"/>
      <c r="C305" s="359"/>
      <c r="D305" s="360"/>
      <c r="E305" s="360"/>
      <c r="G305" s="95"/>
    </row>
    <row r="306" spans="1:7">
      <c r="A306" s="361" t="s">
        <v>299</v>
      </c>
      <c r="B306" s="362">
        <v>7</v>
      </c>
      <c r="C306" s="363" t="s">
        <v>116</v>
      </c>
      <c r="D306" s="364"/>
      <c r="E306" s="364">
        <f>B306*D306</f>
        <v>0</v>
      </c>
      <c r="G306" s="95"/>
    </row>
    <row r="307" spans="1:7">
      <c r="A307" s="361" t="s">
        <v>300</v>
      </c>
      <c r="B307" s="365">
        <v>0.52</v>
      </c>
      <c r="C307" s="363" t="s">
        <v>301</v>
      </c>
      <c r="D307" s="364"/>
      <c r="E307" s="364">
        <f t="shared" ref="E307:E311" si="6">B307*D307</f>
        <v>0</v>
      </c>
      <c r="G307" s="95"/>
    </row>
    <row r="308" spans="1:7">
      <c r="A308" s="361" t="s">
        <v>302</v>
      </c>
      <c r="B308" s="365">
        <v>0.83</v>
      </c>
      <c r="C308" s="363" t="s">
        <v>301</v>
      </c>
      <c r="D308" s="364">
        <f>D281</f>
        <v>0</v>
      </c>
      <c r="E308" s="364">
        <f t="shared" si="6"/>
        <v>0</v>
      </c>
      <c r="G308" s="95"/>
    </row>
    <row r="309" spans="1:7">
      <c r="A309" s="361" t="s">
        <v>303</v>
      </c>
      <c r="B309" s="362">
        <v>60</v>
      </c>
      <c r="C309" s="362" t="s">
        <v>66</v>
      </c>
      <c r="D309" s="364"/>
      <c r="E309" s="364">
        <f t="shared" si="6"/>
        <v>0</v>
      </c>
      <c r="G309" s="95"/>
    </row>
    <row r="310" spans="1:7">
      <c r="A310" s="361" t="s">
        <v>447</v>
      </c>
      <c r="B310" s="362">
        <v>1.35</v>
      </c>
      <c r="C310" s="362" t="s">
        <v>74</v>
      </c>
      <c r="D310" s="364"/>
      <c r="E310" s="364">
        <f t="shared" si="6"/>
        <v>0</v>
      </c>
      <c r="G310" s="95"/>
    </row>
    <row r="311" spans="1:7">
      <c r="A311" s="392" t="s">
        <v>472</v>
      </c>
      <c r="B311" s="393">
        <v>1</v>
      </c>
      <c r="C311" s="393" t="s">
        <v>107</v>
      </c>
      <c r="D311" s="394"/>
      <c r="E311" s="394">
        <f t="shared" si="6"/>
        <v>0</v>
      </c>
      <c r="G311" s="95"/>
    </row>
    <row r="312" spans="1:7" ht="28.2">
      <c r="A312" s="358"/>
      <c r="B312" s="359"/>
      <c r="C312" s="366" t="s">
        <v>304</v>
      </c>
      <c r="D312" s="367"/>
      <c r="E312" s="367">
        <f>SUM(E306:E311)</f>
        <v>0</v>
      </c>
      <c r="G312" s="95"/>
    </row>
    <row r="313" spans="1:7">
      <c r="A313" s="389"/>
      <c r="B313" s="390"/>
      <c r="C313" s="391"/>
      <c r="D313" s="371"/>
      <c r="E313" s="314"/>
      <c r="G313" s="95"/>
    </row>
    <row r="314" spans="1:7" ht="15" thickBot="1">
      <c r="A314" s="245"/>
      <c r="B314" s="246"/>
      <c r="C314" s="329"/>
      <c r="D314" s="330"/>
      <c r="E314" s="331"/>
      <c r="F314" s="332"/>
      <c r="G314" s="95"/>
    </row>
    <row r="315" spans="1:7" ht="15" thickBot="1">
      <c r="A315" s="580" t="s">
        <v>296</v>
      </c>
      <c r="B315" s="581"/>
      <c r="C315" s="581"/>
      <c r="D315" s="581"/>
      <c r="E315" s="581"/>
      <c r="F315" s="582"/>
    </row>
    <row r="316" spans="1:7" ht="15.6">
      <c r="A316" s="144" t="s">
        <v>29</v>
      </c>
      <c r="B316" s="145" t="s">
        <v>30</v>
      </c>
      <c r="C316" s="146" t="s">
        <v>17</v>
      </c>
      <c r="D316" s="146" t="s">
        <v>31</v>
      </c>
      <c r="E316" s="147" t="s">
        <v>32</v>
      </c>
      <c r="F316" s="77" t="s">
        <v>33</v>
      </c>
    </row>
    <row r="317" spans="1:7">
      <c r="A317" s="137" t="s">
        <v>191</v>
      </c>
      <c r="B317" s="138">
        <v>2.46</v>
      </c>
      <c r="C317" s="126" t="s">
        <v>192</v>
      </c>
      <c r="D317" s="126">
        <v>1</v>
      </c>
      <c r="E317" s="135">
        <f>D289</f>
        <v>0</v>
      </c>
      <c r="F317" s="104">
        <f t="shared" ref="F317:F321" si="7">E317*B317/D317</f>
        <v>0</v>
      </c>
    </row>
    <row r="318" spans="1:7">
      <c r="A318" s="137" t="s">
        <v>193</v>
      </c>
      <c r="B318" s="138">
        <v>3</v>
      </c>
      <c r="C318" s="126" t="s">
        <v>123</v>
      </c>
      <c r="D318" s="126">
        <v>1</v>
      </c>
      <c r="E318" s="135"/>
      <c r="F318" s="104">
        <f t="shared" si="7"/>
        <v>0</v>
      </c>
    </row>
    <row r="319" spans="1:7">
      <c r="A319" s="137" t="s">
        <v>699</v>
      </c>
      <c r="B319" s="138">
        <f>2*B317</f>
        <v>4.92</v>
      </c>
      <c r="C319" s="126" t="s">
        <v>118</v>
      </c>
      <c r="D319" s="126">
        <v>1</v>
      </c>
      <c r="E319" s="135"/>
      <c r="F319" s="104">
        <f t="shared" si="7"/>
        <v>0</v>
      </c>
    </row>
    <row r="320" spans="1:7">
      <c r="A320" s="137" t="s">
        <v>305</v>
      </c>
      <c r="B320" s="138">
        <v>33.33</v>
      </c>
      <c r="C320" s="126" t="s">
        <v>8</v>
      </c>
      <c r="D320" s="126">
        <v>1</v>
      </c>
      <c r="E320" s="135"/>
      <c r="F320" s="104">
        <f t="shared" si="7"/>
        <v>0</v>
      </c>
    </row>
    <row r="321" spans="1:9">
      <c r="A321" s="137" t="s">
        <v>306</v>
      </c>
      <c r="B321" s="138">
        <v>1.05</v>
      </c>
      <c r="C321" s="126" t="s">
        <v>118</v>
      </c>
      <c r="D321" s="126">
        <v>1</v>
      </c>
      <c r="E321" s="135">
        <f>E312</f>
        <v>0</v>
      </c>
      <c r="F321" s="104">
        <f t="shared" si="7"/>
        <v>0</v>
      </c>
    </row>
    <row r="322" spans="1:9">
      <c r="A322" s="137"/>
      <c r="B322" s="138"/>
      <c r="C322" s="126"/>
      <c r="D322" s="126"/>
      <c r="E322" s="127" t="s">
        <v>195</v>
      </c>
      <c r="F322" s="122">
        <f>SUM(F317:F321)</f>
        <v>0</v>
      </c>
    </row>
    <row r="323" spans="1:9">
      <c r="A323" s="395"/>
      <c r="B323" s="396"/>
      <c r="C323" s="397"/>
      <c r="D323" s="397"/>
      <c r="E323" s="398"/>
      <c r="F323" s="399">
        <f>F322/7.12</f>
        <v>0</v>
      </c>
    </row>
    <row r="324" spans="1:9" ht="15" thickBot="1">
      <c r="A324" s="395"/>
      <c r="B324" s="396"/>
      <c r="C324" s="397"/>
      <c r="D324" s="397"/>
      <c r="E324" s="398"/>
      <c r="F324" s="399"/>
    </row>
    <row r="325" spans="1:9" ht="15" thickBot="1">
      <c r="A325" s="591" t="s">
        <v>58</v>
      </c>
      <c r="B325" s="592"/>
      <c r="C325" s="592"/>
      <c r="D325" s="592"/>
      <c r="E325" s="592"/>
      <c r="F325" s="593"/>
    </row>
    <row r="326" spans="1:9" ht="15.6">
      <c r="A326" s="96" t="s">
        <v>29</v>
      </c>
      <c r="B326" s="97" t="s">
        <v>30</v>
      </c>
      <c r="C326" s="98" t="s">
        <v>17</v>
      </c>
      <c r="D326" s="98" t="s">
        <v>31</v>
      </c>
      <c r="E326" s="99" t="s">
        <v>32</v>
      </c>
      <c r="F326" s="77" t="s">
        <v>33</v>
      </c>
    </row>
    <row r="327" spans="1:9">
      <c r="A327" s="100" t="s">
        <v>60</v>
      </c>
      <c r="B327" s="101">
        <v>1</v>
      </c>
      <c r="C327" s="102" t="s">
        <v>17</v>
      </c>
      <c r="D327" s="102">
        <v>1</v>
      </c>
      <c r="E327" s="151"/>
      <c r="F327" s="104">
        <f>E327*B327</f>
        <v>0</v>
      </c>
    </row>
    <row r="328" spans="1:9">
      <c r="A328" s="100"/>
      <c r="B328" s="101"/>
      <c r="C328" s="102"/>
      <c r="D328" s="102"/>
      <c r="E328" s="105" t="s">
        <v>59</v>
      </c>
      <c r="F328" s="106">
        <f>SUM(F327:F327)</f>
        <v>0</v>
      </c>
    </row>
    <row r="329" spans="1:9">
      <c r="A329" s="100"/>
      <c r="B329" s="101"/>
      <c r="C329" s="102"/>
      <c r="D329" s="102"/>
      <c r="E329" s="105" t="s">
        <v>14</v>
      </c>
      <c r="F329" s="106">
        <f>+F328*0.18</f>
        <v>0</v>
      </c>
      <c r="I329" s="74"/>
    </row>
    <row r="330" spans="1:9" ht="15" thickBot="1"/>
    <row r="331" spans="1:9" ht="15" thickBot="1">
      <c r="A331" s="585" t="s">
        <v>479</v>
      </c>
      <c r="B331" s="586"/>
      <c r="C331" s="586"/>
      <c r="D331" s="586"/>
      <c r="E331" s="586"/>
      <c r="F331" s="587"/>
    </row>
    <row r="332" spans="1:9" ht="15.6">
      <c r="A332" s="60" t="s">
        <v>29</v>
      </c>
      <c r="B332" s="61" t="s">
        <v>30</v>
      </c>
      <c r="C332" s="62" t="s">
        <v>17</v>
      </c>
      <c r="D332" s="62" t="s">
        <v>227</v>
      </c>
      <c r="E332" s="63" t="s">
        <v>14</v>
      </c>
      <c r="F332" s="64" t="s">
        <v>33</v>
      </c>
    </row>
    <row r="333" spans="1:9">
      <c r="A333" s="100" t="s">
        <v>316</v>
      </c>
      <c r="B333" s="101">
        <v>538</v>
      </c>
      <c r="C333" s="102" t="s">
        <v>17</v>
      </c>
      <c r="D333" s="101"/>
      <c r="E333" s="103">
        <f>0.18*D333</f>
        <v>0</v>
      </c>
      <c r="F333" s="104">
        <f>+B333*(D333+E333)</f>
        <v>0</v>
      </c>
    </row>
    <row r="334" spans="1:9">
      <c r="A334" s="100" t="s">
        <v>126</v>
      </c>
      <c r="B334" s="101">
        <v>250</v>
      </c>
      <c r="C334" s="102" t="s">
        <v>17</v>
      </c>
      <c r="D334" s="101"/>
      <c r="E334" s="103">
        <f>0.18*D334</f>
        <v>0</v>
      </c>
      <c r="F334" s="104">
        <f t="shared" ref="F334:F343" si="8">+B334*(D334+E334)</f>
        <v>0</v>
      </c>
    </row>
    <row r="335" spans="1:9">
      <c r="A335" s="100" t="s">
        <v>127</v>
      </c>
      <c r="B335" s="101">
        <v>250</v>
      </c>
      <c r="C335" s="102" t="s">
        <v>17</v>
      </c>
      <c r="D335" s="101"/>
      <c r="E335" s="103">
        <f t="shared" ref="E335:E342" si="9">0.18*D335</f>
        <v>0</v>
      </c>
      <c r="F335" s="104">
        <f t="shared" si="8"/>
        <v>0</v>
      </c>
    </row>
    <row r="336" spans="1:9">
      <c r="A336" s="100" t="s">
        <v>128</v>
      </c>
      <c r="B336" s="101">
        <v>45</v>
      </c>
      <c r="C336" s="102" t="s">
        <v>17</v>
      </c>
      <c r="D336" s="101"/>
      <c r="E336" s="103">
        <f t="shared" si="9"/>
        <v>0</v>
      </c>
      <c r="F336" s="104">
        <f t="shared" si="8"/>
        <v>0</v>
      </c>
    </row>
    <row r="337" spans="1:6">
      <c r="A337" s="100" t="s">
        <v>129</v>
      </c>
      <c r="B337" s="101">
        <v>20</v>
      </c>
      <c r="C337" s="102" t="s">
        <v>17</v>
      </c>
      <c r="D337" s="101"/>
      <c r="E337" s="103">
        <f t="shared" si="9"/>
        <v>0</v>
      </c>
      <c r="F337" s="104">
        <f t="shared" si="8"/>
        <v>0</v>
      </c>
    </row>
    <row r="338" spans="1:6">
      <c r="A338" s="100" t="s">
        <v>130</v>
      </c>
      <c r="B338" s="101">
        <v>2</v>
      </c>
      <c r="C338" s="102" t="s">
        <v>131</v>
      </c>
      <c r="D338" s="101"/>
      <c r="E338" s="103">
        <f t="shared" si="9"/>
        <v>0</v>
      </c>
      <c r="F338" s="104">
        <f t="shared" si="8"/>
        <v>0</v>
      </c>
    </row>
    <row r="339" spans="1:6">
      <c r="A339" s="100" t="s">
        <v>315</v>
      </c>
      <c r="B339" s="154">
        <v>1</v>
      </c>
      <c r="C339" s="155" t="s">
        <v>135</v>
      </c>
      <c r="D339" s="101"/>
      <c r="E339" s="103">
        <f t="shared" si="9"/>
        <v>0</v>
      </c>
      <c r="F339" s="104">
        <f t="shared" si="8"/>
        <v>0</v>
      </c>
    </row>
    <row r="340" spans="1:6">
      <c r="A340" s="100" t="s">
        <v>132</v>
      </c>
      <c r="B340" s="101">
        <v>140</v>
      </c>
      <c r="C340" s="102" t="s">
        <v>17</v>
      </c>
      <c r="D340" s="101"/>
      <c r="E340" s="103">
        <f t="shared" si="9"/>
        <v>0</v>
      </c>
      <c r="F340" s="104">
        <f t="shared" si="8"/>
        <v>0</v>
      </c>
    </row>
    <row r="341" spans="1:6">
      <c r="A341" s="100" t="s">
        <v>133</v>
      </c>
      <c r="B341" s="101">
        <v>140</v>
      </c>
      <c r="C341" s="102" t="s">
        <v>17</v>
      </c>
      <c r="D341" s="101"/>
      <c r="E341" s="103">
        <f t="shared" si="9"/>
        <v>0</v>
      </c>
      <c r="F341" s="104">
        <f t="shared" si="8"/>
        <v>0</v>
      </c>
    </row>
    <row r="342" spans="1:6">
      <c r="A342" s="100" t="s">
        <v>134</v>
      </c>
      <c r="B342" s="101">
        <v>10</v>
      </c>
      <c r="C342" s="102" t="s">
        <v>135</v>
      </c>
      <c r="D342" s="101"/>
      <c r="E342" s="103">
        <f t="shared" si="9"/>
        <v>0</v>
      </c>
      <c r="F342" s="104">
        <f t="shared" si="8"/>
        <v>0</v>
      </c>
    </row>
    <row r="343" spans="1:6">
      <c r="A343" s="100" t="s">
        <v>45</v>
      </c>
      <c r="B343" s="101">
        <v>100</v>
      </c>
      <c r="C343" s="102" t="s">
        <v>20</v>
      </c>
      <c r="D343" s="101"/>
      <c r="E343" s="103">
        <v>0</v>
      </c>
      <c r="F343" s="104">
        <f t="shared" si="8"/>
        <v>0</v>
      </c>
    </row>
    <row r="344" spans="1:6">
      <c r="E344" s="127" t="s">
        <v>136</v>
      </c>
      <c r="F344" s="122">
        <f>SUM(F333:F343)</f>
        <v>0</v>
      </c>
    </row>
    <row r="345" spans="1:6">
      <c r="E345" s="127" t="s">
        <v>137</v>
      </c>
      <c r="F345" s="122">
        <f>+F344/B343</f>
        <v>0</v>
      </c>
    </row>
    <row r="346" spans="1:6" ht="15" thickBot="1">
      <c r="E346" s="123" t="s">
        <v>14</v>
      </c>
      <c r="F346" s="124">
        <f>SUM(F333:F337)*0.18</f>
        <v>0</v>
      </c>
    </row>
    <row r="347" spans="1:6" ht="15" thickBot="1">
      <c r="A347" s="594" t="s">
        <v>326</v>
      </c>
      <c r="B347" s="595"/>
      <c r="C347" s="595"/>
      <c r="D347" s="595"/>
      <c r="E347" s="595"/>
      <c r="F347" s="596"/>
    </row>
    <row r="348" spans="1:6" ht="15.6">
      <c r="A348" s="60" t="s">
        <v>29</v>
      </c>
      <c r="B348" s="61" t="s">
        <v>30</v>
      </c>
      <c r="C348" s="62" t="s">
        <v>17</v>
      </c>
      <c r="D348" s="62" t="s">
        <v>31</v>
      </c>
      <c r="E348" s="63" t="s">
        <v>32</v>
      </c>
      <c r="F348" s="64" t="s">
        <v>33</v>
      </c>
    </row>
    <row r="349" spans="1:6">
      <c r="A349" s="65" t="s">
        <v>34</v>
      </c>
      <c r="B349" s="66">
        <v>160</v>
      </c>
      <c r="C349" s="67" t="s">
        <v>35</v>
      </c>
      <c r="D349" s="67"/>
      <c r="E349" s="68"/>
      <c r="F349" s="69"/>
    </row>
    <row r="350" spans="1:6">
      <c r="A350" s="70" t="s">
        <v>36</v>
      </c>
      <c r="B350" s="66"/>
      <c r="C350" s="67"/>
      <c r="D350" s="67"/>
      <c r="E350" s="68"/>
      <c r="F350" s="69"/>
    </row>
    <row r="351" spans="1:6">
      <c r="A351" s="65" t="s">
        <v>37</v>
      </c>
      <c r="B351" s="66">
        <f>(+((2.08*4)+(2.4*6)+(1.21*2))*(3.28))*0.4</f>
        <v>32.98368</v>
      </c>
      <c r="C351" s="67" t="s">
        <v>38</v>
      </c>
      <c r="D351" s="67">
        <v>1</v>
      </c>
      <c r="E351" s="69"/>
      <c r="F351" s="69">
        <f t="shared" ref="F351:F357" si="10">E351*B351</f>
        <v>0</v>
      </c>
    </row>
    <row r="352" spans="1:6" ht="13.95" customHeight="1">
      <c r="A352" s="65" t="s">
        <v>39</v>
      </c>
      <c r="B352" s="66">
        <f>+((2.4*3)*3.28)*0.4</f>
        <v>9.4463999999999988</v>
      </c>
      <c r="C352" s="67" t="s">
        <v>38</v>
      </c>
      <c r="D352" s="67">
        <v>1</v>
      </c>
      <c r="E352" s="69"/>
      <c r="F352" s="69">
        <f t="shared" si="10"/>
        <v>0</v>
      </c>
    </row>
    <row r="353" spans="1:6" ht="12.6" customHeight="1">
      <c r="A353" s="65" t="s">
        <v>40</v>
      </c>
      <c r="B353" s="66">
        <v>131.47999999999999</v>
      </c>
      <c r="C353" s="67" t="s">
        <v>35</v>
      </c>
      <c r="D353" s="67">
        <v>1</v>
      </c>
      <c r="E353" s="69"/>
      <c r="F353" s="69"/>
    </row>
    <row r="354" spans="1:6" ht="12.6" customHeight="1">
      <c r="A354" s="65" t="s">
        <v>41</v>
      </c>
      <c r="B354" s="66">
        <f>+B351</f>
        <v>32.98368</v>
      </c>
      <c r="C354" s="67" t="s">
        <v>42</v>
      </c>
      <c r="D354" s="67">
        <v>1</v>
      </c>
      <c r="E354" s="69"/>
      <c r="F354" s="69"/>
    </row>
    <row r="355" spans="1:6" ht="13.95" customHeight="1">
      <c r="A355" s="65" t="s">
        <v>43</v>
      </c>
      <c r="B355" s="66">
        <f>+B353</f>
        <v>131.47999999999999</v>
      </c>
      <c r="C355" s="67" t="s">
        <v>35</v>
      </c>
      <c r="D355" s="67">
        <v>1</v>
      </c>
      <c r="E355" s="69"/>
      <c r="F355" s="69"/>
    </row>
    <row r="356" spans="1:6">
      <c r="A356" s="65" t="s">
        <v>44</v>
      </c>
      <c r="B356" s="66">
        <f>12*0.4</f>
        <v>4.8000000000000007</v>
      </c>
      <c r="C356" s="67" t="s">
        <v>17</v>
      </c>
      <c r="D356" s="67">
        <v>1</v>
      </c>
      <c r="E356" s="69"/>
      <c r="F356" s="69">
        <f t="shared" si="10"/>
        <v>0</v>
      </c>
    </row>
    <row r="357" spans="1:6">
      <c r="A357" s="65" t="s">
        <v>323</v>
      </c>
      <c r="B357" s="66">
        <v>6</v>
      </c>
      <c r="C357" s="67" t="s">
        <v>324</v>
      </c>
      <c r="D357" s="67"/>
      <c r="E357" s="69"/>
      <c r="F357" s="69">
        <f t="shared" si="10"/>
        <v>0</v>
      </c>
    </row>
    <row r="358" spans="1:6">
      <c r="A358" s="70" t="s">
        <v>45</v>
      </c>
      <c r="B358" s="66"/>
      <c r="C358" s="67"/>
      <c r="D358" s="67"/>
      <c r="E358" s="69"/>
      <c r="F358" s="69"/>
    </row>
    <row r="359" spans="1:6">
      <c r="A359" s="65" t="s">
        <v>325</v>
      </c>
      <c r="B359" s="66">
        <f>+B349</f>
        <v>160</v>
      </c>
      <c r="C359" s="67" t="s">
        <v>26</v>
      </c>
      <c r="D359" s="67">
        <v>1</v>
      </c>
      <c r="E359" s="69"/>
      <c r="F359" s="69">
        <f>E359*B359</f>
        <v>0</v>
      </c>
    </row>
    <row r="360" spans="1:6">
      <c r="A360" s="65"/>
      <c r="B360" s="66"/>
      <c r="C360" s="67"/>
      <c r="D360" s="67"/>
      <c r="E360" s="69"/>
      <c r="F360" s="69"/>
    </row>
    <row r="361" spans="1:6">
      <c r="A361" s="70" t="s">
        <v>46</v>
      </c>
      <c r="B361" s="66"/>
      <c r="C361" s="67"/>
      <c r="D361" s="67"/>
      <c r="E361" s="69"/>
      <c r="F361" s="69"/>
    </row>
    <row r="362" spans="1:6" ht="27">
      <c r="A362" s="71" t="s">
        <v>47</v>
      </c>
      <c r="B362" s="66">
        <f>+((2.04+2.04+1.46)*2.4)*10.76</f>
        <v>143.06495999999999</v>
      </c>
      <c r="C362" s="67" t="s">
        <v>26</v>
      </c>
      <c r="D362" s="67">
        <v>1</v>
      </c>
      <c r="E362" s="69"/>
      <c r="F362" s="69">
        <f>E362*B362</f>
        <v>0</v>
      </c>
    </row>
    <row r="363" spans="1:6">
      <c r="A363" s="65" t="s">
        <v>412</v>
      </c>
      <c r="B363" s="66">
        <v>3</v>
      </c>
      <c r="C363" s="67" t="s">
        <v>48</v>
      </c>
      <c r="D363" s="67">
        <v>1</v>
      </c>
      <c r="E363" s="69"/>
      <c r="F363" s="69">
        <f>+E363*B363%</f>
        <v>0</v>
      </c>
    </row>
    <row r="364" spans="1:6">
      <c r="A364" s="65"/>
      <c r="B364" s="66"/>
      <c r="C364" s="67"/>
      <c r="D364" s="67"/>
      <c r="E364" s="72" t="s">
        <v>33</v>
      </c>
      <c r="F364" s="73">
        <f>SUM(F351:F363)</f>
        <v>0</v>
      </c>
    </row>
    <row r="365" spans="1:6">
      <c r="E365" s="72" t="s">
        <v>26</v>
      </c>
      <c r="F365" s="73">
        <f>+F364/B349</f>
        <v>0</v>
      </c>
    </row>
    <row r="366" spans="1:6" ht="15" thickBot="1"/>
    <row r="367" spans="1:6">
      <c r="A367" s="610" t="s">
        <v>327</v>
      </c>
      <c r="B367" s="611"/>
      <c r="C367" s="611"/>
      <c r="D367" s="611"/>
      <c r="E367" s="611"/>
      <c r="F367" s="612"/>
    </row>
    <row r="368" spans="1:6" ht="27.6" customHeight="1">
      <c r="A368" s="261" t="s">
        <v>329</v>
      </c>
      <c r="B368" s="262">
        <v>1</v>
      </c>
      <c r="C368" s="262" t="s">
        <v>20</v>
      </c>
      <c r="D368" s="263">
        <v>3</v>
      </c>
      <c r="E368" s="264">
        <v>2.8</v>
      </c>
      <c r="F368" s="265">
        <v>2.8</v>
      </c>
    </row>
    <row r="369" spans="1:6">
      <c r="A369" s="89" t="s">
        <v>29</v>
      </c>
      <c r="B369" s="112" t="s">
        <v>330</v>
      </c>
      <c r="C369" s="113" t="s">
        <v>17</v>
      </c>
      <c r="D369" s="113" t="s">
        <v>227</v>
      </c>
      <c r="E369" s="268" t="s">
        <v>14</v>
      </c>
      <c r="F369" s="269" t="s">
        <v>33</v>
      </c>
    </row>
    <row r="370" spans="1:6" ht="15">
      <c r="A370" s="251" t="s">
        <v>343</v>
      </c>
      <c r="B370" s="270">
        <v>5.925826390755172</v>
      </c>
      <c r="C370" s="253" t="s">
        <v>7</v>
      </c>
      <c r="D370" s="255"/>
      <c r="E370" s="273">
        <f>D370*0.18</f>
        <v>0</v>
      </c>
      <c r="F370" s="256">
        <f t="shared" ref="F370:F380" si="11">B370*(D370+E370)</f>
        <v>0</v>
      </c>
    </row>
    <row r="371" spans="1:6" ht="15">
      <c r="A371" s="251" t="s">
        <v>332</v>
      </c>
      <c r="B371" s="270">
        <v>6.0590163934426222</v>
      </c>
      <c r="C371" s="253" t="s">
        <v>7</v>
      </c>
      <c r="D371" s="277"/>
      <c r="E371" s="273">
        <f>D371*0.18</f>
        <v>0</v>
      </c>
      <c r="F371" s="256">
        <f t="shared" si="11"/>
        <v>0</v>
      </c>
    </row>
    <row r="372" spans="1:6" ht="15">
      <c r="A372" s="251" t="s">
        <v>333</v>
      </c>
      <c r="B372" s="270">
        <v>3.029508196721312</v>
      </c>
      <c r="C372" s="253" t="s">
        <v>7</v>
      </c>
      <c r="D372" s="277"/>
      <c r="E372" s="273">
        <f>D372*0.18</f>
        <v>0</v>
      </c>
      <c r="F372" s="256">
        <f t="shared" si="11"/>
        <v>0</v>
      </c>
    </row>
    <row r="373" spans="1:6" ht="15">
      <c r="A373" s="251" t="s">
        <v>334</v>
      </c>
      <c r="B373" s="270">
        <v>2</v>
      </c>
      <c r="C373" s="253" t="s">
        <v>7</v>
      </c>
      <c r="D373" s="277"/>
      <c r="E373" s="273">
        <f>D373*0.18</f>
        <v>0</v>
      </c>
      <c r="F373" s="256">
        <f t="shared" si="11"/>
        <v>0</v>
      </c>
    </row>
    <row r="374" spans="1:6" ht="15">
      <c r="A374" s="251" t="s">
        <v>335</v>
      </c>
      <c r="B374" s="270">
        <v>13.439999999999998</v>
      </c>
      <c r="C374" s="253" t="s">
        <v>336</v>
      </c>
      <c r="D374" s="271"/>
      <c r="E374" s="273">
        <f>D374*0.18</f>
        <v>0</v>
      </c>
      <c r="F374" s="256">
        <f t="shared" si="11"/>
        <v>0</v>
      </c>
    </row>
    <row r="375" spans="1:6" ht="15">
      <c r="A375" s="251" t="s">
        <v>337</v>
      </c>
      <c r="B375" s="270">
        <v>0.8</v>
      </c>
      <c r="C375" s="253" t="s">
        <v>7</v>
      </c>
      <c r="D375" s="277"/>
      <c r="E375" s="273">
        <f t="shared" ref="E375:E380" si="12">D375*0.18</f>
        <v>0</v>
      </c>
      <c r="F375" s="256">
        <f t="shared" si="11"/>
        <v>0</v>
      </c>
    </row>
    <row r="376" spans="1:6" ht="15">
      <c r="A376" s="251" t="s">
        <v>338</v>
      </c>
      <c r="B376" s="270">
        <v>2</v>
      </c>
      <c r="C376" s="253" t="s">
        <v>118</v>
      </c>
      <c r="D376" s="277"/>
      <c r="E376" s="273">
        <f t="shared" si="12"/>
        <v>0</v>
      </c>
      <c r="F376" s="256">
        <f t="shared" si="11"/>
        <v>0</v>
      </c>
    </row>
    <row r="377" spans="1:6" ht="15">
      <c r="A377" s="251" t="s">
        <v>315</v>
      </c>
      <c r="B377" s="270">
        <v>1</v>
      </c>
      <c r="C377" s="253" t="s">
        <v>118</v>
      </c>
      <c r="D377" s="277"/>
      <c r="E377" s="273">
        <f t="shared" si="12"/>
        <v>0</v>
      </c>
      <c r="F377" s="256">
        <f t="shared" si="11"/>
        <v>0</v>
      </c>
    </row>
    <row r="378" spans="1:6" ht="15">
      <c r="A378" s="251" t="s">
        <v>339</v>
      </c>
      <c r="B378" s="270">
        <v>0.12</v>
      </c>
      <c r="C378" s="253" t="s">
        <v>7</v>
      </c>
      <c r="D378" s="277"/>
      <c r="E378" s="273">
        <f t="shared" si="12"/>
        <v>0</v>
      </c>
      <c r="F378" s="256">
        <f t="shared" si="11"/>
        <v>0</v>
      </c>
    </row>
    <row r="379" spans="1:6" ht="15">
      <c r="A379" s="251" t="s">
        <v>340</v>
      </c>
      <c r="B379" s="270">
        <v>1.1200000000000001</v>
      </c>
      <c r="C379" s="253" t="s">
        <v>7</v>
      </c>
      <c r="D379" s="277"/>
      <c r="E379" s="273">
        <f t="shared" si="12"/>
        <v>0</v>
      </c>
      <c r="F379" s="256">
        <f t="shared" si="11"/>
        <v>0</v>
      </c>
    </row>
    <row r="380" spans="1:6" ht="15">
      <c r="A380" s="251" t="s">
        <v>568</v>
      </c>
      <c r="B380" s="257">
        <v>1</v>
      </c>
      <c r="C380" s="253" t="s">
        <v>118</v>
      </c>
      <c r="D380" s="277"/>
      <c r="E380" s="255">
        <f t="shared" si="12"/>
        <v>0</v>
      </c>
      <c r="F380" s="256">
        <f t="shared" si="11"/>
        <v>0</v>
      </c>
    </row>
    <row r="381" spans="1:6" ht="15">
      <c r="A381" s="248" t="s">
        <v>186</v>
      </c>
      <c r="B381" s="258"/>
      <c r="C381" s="249"/>
      <c r="D381" s="254"/>
      <c r="E381" s="267"/>
      <c r="F381" s="267"/>
    </row>
    <row r="382" spans="1:6" ht="15">
      <c r="A382" s="251" t="s">
        <v>342</v>
      </c>
      <c r="B382" s="270">
        <v>8.3999999999999986</v>
      </c>
      <c r="C382" s="253" t="s">
        <v>8</v>
      </c>
      <c r="D382" s="271"/>
      <c r="E382" s="273"/>
      <c r="F382" s="256">
        <f>B382*(D382+E382)</f>
        <v>0</v>
      </c>
    </row>
    <row r="383" spans="1:6">
      <c r="A383" s="238"/>
      <c r="B383" s="239"/>
      <c r="C383" s="239"/>
      <c r="D383" s="274" t="s">
        <v>344</v>
      </c>
      <c r="E383" s="275"/>
      <c r="F383" s="276">
        <f>ROUND(SUM(F370:F382),2)</f>
        <v>0</v>
      </c>
    </row>
    <row r="384" spans="1:6">
      <c r="A384" s="238"/>
      <c r="B384" s="239"/>
      <c r="C384" s="239"/>
      <c r="D384" s="274" t="s">
        <v>20</v>
      </c>
      <c r="E384" s="275"/>
      <c r="F384" s="276">
        <f>F383/(D368*F368)</f>
        <v>0</v>
      </c>
    </row>
    <row r="385" spans="1:7" ht="15" thickBot="1">
      <c r="B385" s="95"/>
      <c r="C385" s="95"/>
      <c r="D385" s="95"/>
      <c r="E385" s="95"/>
      <c r="F385" s="95"/>
    </row>
    <row r="386" spans="1:7">
      <c r="A386" s="613" t="s">
        <v>345</v>
      </c>
      <c r="B386" s="614"/>
      <c r="C386" s="614"/>
      <c r="D386" s="614"/>
      <c r="E386" s="614"/>
      <c r="F386" s="615"/>
    </row>
    <row r="387" spans="1:7">
      <c r="A387" s="278" t="s">
        <v>346</v>
      </c>
      <c r="B387" s="279">
        <f>100/3.28</f>
        <v>30.487804878048781</v>
      </c>
      <c r="C387" s="279">
        <f>4/3.28</f>
        <v>1.2195121951219512</v>
      </c>
      <c r="D387" s="279">
        <f>B387*C387</f>
        <v>37.180249851279001</v>
      </c>
      <c r="E387" s="280">
        <v>2774.13</v>
      </c>
      <c r="F387" s="280">
        <f>E387/D387</f>
        <v>74.613000479999997</v>
      </c>
    </row>
    <row r="388" spans="1:7" ht="27.6">
      <c r="A388" s="261" t="s">
        <v>328</v>
      </c>
      <c r="B388" s="262">
        <v>1</v>
      </c>
      <c r="C388" s="262" t="s">
        <v>20</v>
      </c>
      <c r="D388" s="263">
        <v>3</v>
      </c>
      <c r="E388" s="264">
        <v>2.8</v>
      </c>
      <c r="F388" s="265">
        <v>2.8</v>
      </c>
    </row>
    <row r="389" spans="1:7">
      <c r="A389" s="248" t="s">
        <v>224</v>
      </c>
      <c r="B389" s="249"/>
      <c r="C389" s="249"/>
      <c r="D389" s="266"/>
      <c r="E389" s="249"/>
      <c r="F389" s="267"/>
      <c r="G389">
        <f>3*2.8</f>
        <v>8.3999999999999986</v>
      </c>
    </row>
    <row r="390" spans="1:7" ht="15">
      <c r="A390" s="251" t="s">
        <v>331</v>
      </c>
      <c r="B390" s="257">
        <v>5.925826390755172</v>
      </c>
      <c r="C390" s="253" t="s">
        <v>7</v>
      </c>
      <c r="D390" s="255"/>
      <c r="E390" s="255">
        <f>D390*0.18</f>
        <v>0</v>
      </c>
      <c r="F390" s="256">
        <f t="shared" ref="F390:F401" si="13">B390*(D390+E390)</f>
        <v>0</v>
      </c>
    </row>
    <row r="391" spans="1:7" ht="15">
      <c r="A391" s="251" t="s">
        <v>332</v>
      </c>
      <c r="B391" s="257">
        <v>6.0590163934426222</v>
      </c>
      <c r="C391" s="253" t="s">
        <v>7</v>
      </c>
      <c r="D391" s="277"/>
      <c r="E391" s="255">
        <f>D391*0.18</f>
        <v>0</v>
      </c>
      <c r="F391" s="256">
        <f t="shared" si="13"/>
        <v>0</v>
      </c>
    </row>
    <row r="392" spans="1:7" ht="15">
      <c r="A392" s="251" t="s">
        <v>333</v>
      </c>
      <c r="B392" s="257">
        <v>3.029508196721312</v>
      </c>
      <c r="C392" s="253" t="s">
        <v>7</v>
      </c>
      <c r="D392" s="277"/>
      <c r="E392" s="255">
        <f>D392*0.18</f>
        <v>0</v>
      </c>
      <c r="F392" s="256">
        <f t="shared" si="13"/>
        <v>0</v>
      </c>
    </row>
    <row r="393" spans="1:7" ht="15">
      <c r="A393" s="251" t="s">
        <v>334</v>
      </c>
      <c r="B393" s="257">
        <v>2</v>
      </c>
      <c r="C393" s="253" t="s">
        <v>7</v>
      </c>
      <c r="D393" s="277"/>
      <c r="E393" s="255">
        <f>D393*0.18</f>
        <v>0</v>
      </c>
      <c r="F393" s="256">
        <f t="shared" si="13"/>
        <v>0</v>
      </c>
    </row>
    <row r="394" spans="1:7" ht="15">
      <c r="A394" s="251" t="s">
        <v>335</v>
      </c>
      <c r="B394" s="257">
        <v>13.439999999999998</v>
      </c>
      <c r="C394" s="253" t="s">
        <v>336</v>
      </c>
      <c r="D394" s="271"/>
      <c r="E394" s="255">
        <f>D394*0.18</f>
        <v>0</v>
      </c>
      <c r="F394" s="256">
        <f t="shared" si="13"/>
        <v>0</v>
      </c>
    </row>
    <row r="395" spans="1:7" ht="15">
      <c r="A395" s="251" t="s">
        <v>337</v>
      </c>
      <c r="B395" s="257">
        <v>0.8</v>
      </c>
      <c r="C395" s="253" t="s">
        <v>7</v>
      </c>
      <c r="D395" s="277"/>
      <c r="E395" s="255">
        <f t="shared" ref="E395:E402" si="14">D395*0.18</f>
        <v>0</v>
      </c>
      <c r="F395" s="256">
        <f t="shared" si="13"/>
        <v>0</v>
      </c>
    </row>
    <row r="396" spans="1:7" ht="15">
      <c r="A396" s="251" t="s">
        <v>338</v>
      </c>
      <c r="B396" s="257">
        <v>2</v>
      </c>
      <c r="C396" s="253" t="s">
        <v>118</v>
      </c>
      <c r="D396" s="277"/>
      <c r="E396" s="255">
        <f t="shared" si="14"/>
        <v>0</v>
      </c>
      <c r="F396" s="256">
        <f t="shared" si="13"/>
        <v>0</v>
      </c>
    </row>
    <row r="397" spans="1:7" ht="15">
      <c r="A397" s="251" t="s">
        <v>315</v>
      </c>
      <c r="B397" s="257">
        <v>1</v>
      </c>
      <c r="C397" s="253" t="s">
        <v>118</v>
      </c>
      <c r="D397" s="277"/>
      <c r="E397" s="255">
        <f t="shared" si="14"/>
        <v>0</v>
      </c>
      <c r="F397" s="256">
        <f t="shared" si="13"/>
        <v>0</v>
      </c>
    </row>
    <row r="398" spans="1:7" ht="15">
      <c r="A398" s="251" t="s">
        <v>339</v>
      </c>
      <c r="B398" s="257">
        <v>0.12</v>
      </c>
      <c r="C398" s="253" t="s">
        <v>7</v>
      </c>
      <c r="D398" s="277"/>
      <c r="E398" s="255">
        <f t="shared" si="14"/>
        <v>0</v>
      </c>
      <c r="F398" s="256">
        <f t="shared" si="13"/>
        <v>0</v>
      </c>
    </row>
    <row r="399" spans="1:7" ht="15">
      <c r="A399" s="251" t="s">
        <v>340</v>
      </c>
      <c r="B399" s="257">
        <v>1.1200000000000001</v>
      </c>
      <c r="C399" s="253" t="s">
        <v>7</v>
      </c>
      <c r="D399" s="277"/>
      <c r="E399" s="255">
        <f t="shared" si="14"/>
        <v>0</v>
      </c>
      <c r="F399" s="256">
        <f t="shared" si="13"/>
        <v>0</v>
      </c>
    </row>
    <row r="400" spans="1:7" ht="15">
      <c r="A400" s="251" t="s">
        <v>341</v>
      </c>
      <c r="B400" s="257">
        <f>1.05*8.4</f>
        <v>8.82</v>
      </c>
      <c r="C400" s="253" t="s">
        <v>8</v>
      </c>
      <c r="D400" s="271"/>
      <c r="E400" s="255">
        <f t="shared" si="14"/>
        <v>0</v>
      </c>
      <c r="F400" s="256">
        <f t="shared" si="13"/>
        <v>0</v>
      </c>
    </row>
    <row r="401" spans="1:6" ht="15">
      <c r="A401" s="251" t="s">
        <v>568</v>
      </c>
      <c r="B401" s="257">
        <v>1</v>
      </c>
      <c r="C401" s="253" t="s">
        <v>118</v>
      </c>
      <c r="D401" s="277"/>
      <c r="E401" s="255">
        <f t="shared" si="14"/>
        <v>0</v>
      </c>
      <c r="F401" s="256">
        <f t="shared" si="13"/>
        <v>0</v>
      </c>
    </row>
    <row r="402" spans="1:6" ht="15">
      <c r="A402" s="251" t="s">
        <v>243</v>
      </c>
      <c r="B402" s="257">
        <v>8.4</v>
      </c>
      <c r="C402" s="253" t="s">
        <v>8</v>
      </c>
      <c r="D402" s="271"/>
      <c r="E402" s="273">
        <f t="shared" si="14"/>
        <v>0</v>
      </c>
      <c r="F402" s="256">
        <f>B402*(D402+E402)</f>
        <v>0</v>
      </c>
    </row>
    <row r="403" spans="1:6">
      <c r="A403" s="248" t="s">
        <v>186</v>
      </c>
      <c r="B403" s="249"/>
      <c r="C403" s="249"/>
      <c r="D403" s="272"/>
      <c r="E403" s="249"/>
      <c r="F403" s="267"/>
    </row>
    <row r="404" spans="1:6" ht="15">
      <c r="A404" s="251" t="s">
        <v>342</v>
      </c>
      <c r="B404" s="257">
        <v>8.3999999999999986</v>
      </c>
      <c r="C404" s="253" t="s">
        <v>8</v>
      </c>
      <c r="D404" s="271"/>
      <c r="E404" s="255"/>
      <c r="F404" s="256">
        <f>B404*(D404+E404)</f>
        <v>0</v>
      </c>
    </row>
    <row r="405" spans="1:6">
      <c r="A405" s="203"/>
      <c r="B405" s="204"/>
      <c r="C405" s="204"/>
      <c r="D405" s="274" t="s">
        <v>344</v>
      </c>
      <c r="E405" s="275"/>
      <c r="F405" s="276">
        <f>ROUND(SUM(F390:F404),2)</f>
        <v>0</v>
      </c>
    </row>
    <row r="406" spans="1:6">
      <c r="B406" s="95"/>
      <c r="C406" s="95"/>
      <c r="D406" s="274" t="s">
        <v>20</v>
      </c>
      <c r="E406" s="275"/>
      <c r="F406" s="276">
        <f>F405/(D388*F388)</f>
        <v>0</v>
      </c>
    </row>
    <row r="408" spans="1:6" ht="27.6">
      <c r="A408" s="261" t="s">
        <v>570</v>
      </c>
      <c r="B408" s="262">
        <v>1</v>
      </c>
      <c r="C408" s="262" t="s">
        <v>20</v>
      </c>
      <c r="D408" s="263">
        <v>2</v>
      </c>
      <c r="E408" s="264">
        <v>2</v>
      </c>
      <c r="F408" s="265">
        <f>D408*E408</f>
        <v>4</v>
      </c>
    </row>
    <row r="409" spans="1:6">
      <c r="A409" s="248" t="s">
        <v>224</v>
      </c>
      <c r="B409" s="249"/>
      <c r="C409" s="249"/>
      <c r="D409" s="266"/>
      <c r="E409" s="249"/>
      <c r="F409" s="267"/>
    </row>
    <row r="410" spans="1:6" ht="15">
      <c r="A410" s="251" t="s">
        <v>558</v>
      </c>
      <c r="B410" s="257">
        <v>4</v>
      </c>
      <c r="C410" s="253" t="s">
        <v>7</v>
      </c>
      <c r="D410" s="260"/>
      <c r="E410" s="255">
        <f>D410*0.18</f>
        <v>0</v>
      </c>
      <c r="F410" s="256">
        <f t="shared" ref="F410:F418" si="15">B410*(D410+E410)</f>
        <v>0</v>
      </c>
    </row>
    <row r="411" spans="1:6" ht="15">
      <c r="A411" s="251" t="s">
        <v>559</v>
      </c>
      <c r="B411" s="257">
        <v>5</v>
      </c>
      <c r="C411" s="253" t="s">
        <v>7</v>
      </c>
      <c r="D411" s="254"/>
      <c r="E411" s="255">
        <f>D411*0.18</f>
        <v>0</v>
      </c>
      <c r="F411" s="256">
        <f t="shared" si="15"/>
        <v>0</v>
      </c>
    </row>
    <row r="412" spans="1:6" ht="15">
      <c r="A412" s="251" t="s">
        <v>560</v>
      </c>
      <c r="B412" s="257">
        <v>4</v>
      </c>
      <c r="C412" s="253" t="s">
        <v>7</v>
      </c>
      <c r="D412" s="254"/>
      <c r="E412" s="255">
        <f>D412*0.18</f>
        <v>0</v>
      </c>
      <c r="F412" s="256">
        <f t="shared" si="15"/>
        <v>0</v>
      </c>
    </row>
    <row r="413" spans="1:6" ht="15">
      <c r="A413" s="251" t="s">
        <v>335</v>
      </c>
      <c r="B413" s="257">
        <v>1</v>
      </c>
      <c r="C413" s="253" t="s">
        <v>561</v>
      </c>
      <c r="D413" s="254"/>
      <c r="E413" s="255">
        <f>D413*0.18</f>
        <v>0</v>
      </c>
      <c r="F413" s="256">
        <f t="shared" si="15"/>
        <v>0</v>
      </c>
    </row>
    <row r="414" spans="1:6" ht="15">
      <c r="A414" s="251" t="s">
        <v>337</v>
      </c>
      <c r="B414" s="257">
        <v>1</v>
      </c>
      <c r="C414" s="253" t="s">
        <v>7</v>
      </c>
      <c r="D414" s="254"/>
      <c r="E414" s="255">
        <f t="shared" ref="E414:E418" si="16">D414*0.18</f>
        <v>0</v>
      </c>
      <c r="F414" s="256">
        <f t="shared" si="15"/>
        <v>0</v>
      </c>
    </row>
    <row r="415" spans="1:6" ht="15">
      <c r="A415" s="251" t="s">
        <v>338</v>
      </c>
      <c r="B415" s="257">
        <v>1</v>
      </c>
      <c r="C415" s="253" t="s">
        <v>118</v>
      </c>
      <c r="D415" s="254"/>
      <c r="E415" s="255">
        <f t="shared" si="16"/>
        <v>0</v>
      </c>
      <c r="F415" s="256">
        <f t="shared" si="15"/>
        <v>0</v>
      </c>
    </row>
    <row r="416" spans="1:6" ht="15">
      <c r="A416" s="251" t="s">
        <v>562</v>
      </c>
      <c r="B416" s="257">
        <v>30</v>
      </c>
      <c r="C416" s="253" t="s">
        <v>7</v>
      </c>
      <c r="D416" s="254"/>
      <c r="E416" s="255">
        <f t="shared" si="16"/>
        <v>0</v>
      </c>
      <c r="F416" s="256">
        <f t="shared" si="15"/>
        <v>0</v>
      </c>
    </row>
    <row r="417" spans="1:6" ht="15">
      <c r="A417" s="251" t="s">
        <v>339</v>
      </c>
      <c r="B417" s="257">
        <v>0.12</v>
      </c>
      <c r="C417" s="253" t="s">
        <v>7</v>
      </c>
      <c r="D417" s="254"/>
      <c r="E417" s="255">
        <f t="shared" si="16"/>
        <v>0</v>
      </c>
      <c r="F417" s="256">
        <f t="shared" si="15"/>
        <v>0</v>
      </c>
    </row>
    <row r="418" spans="1:6" ht="15">
      <c r="A418" s="251" t="s">
        <v>340</v>
      </c>
      <c r="B418" s="257">
        <v>1.1200000000000001</v>
      </c>
      <c r="C418" s="253" t="s">
        <v>7</v>
      </c>
      <c r="D418" s="254"/>
      <c r="E418" s="255">
        <f t="shared" si="16"/>
        <v>0</v>
      </c>
      <c r="F418" s="256">
        <f t="shared" si="15"/>
        <v>0</v>
      </c>
    </row>
    <row r="419" spans="1:6">
      <c r="A419" s="248" t="s">
        <v>186</v>
      </c>
      <c r="B419" s="249"/>
      <c r="C419" s="249"/>
      <c r="D419" s="266"/>
      <c r="E419" s="249"/>
      <c r="F419" s="267"/>
    </row>
    <row r="420" spans="1:6" ht="15">
      <c r="A420" s="251" t="s">
        <v>342</v>
      </c>
      <c r="B420" s="257">
        <v>4</v>
      </c>
      <c r="C420" s="253" t="s">
        <v>8</v>
      </c>
      <c r="D420" s="254"/>
      <c r="E420" s="255"/>
      <c r="F420" s="256">
        <f>B420*(D420+E420)</f>
        <v>0</v>
      </c>
    </row>
    <row r="421" spans="1:6">
      <c r="A421" s="203"/>
      <c r="B421" s="204"/>
      <c r="C421" s="204"/>
      <c r="D421" s="274" t="s">
        <v>344</v>
      </c>
      <c r="E421" s="275"/>
      <c r="F421" s="276">
        <f>ROUND(SUM(F410:F420),2)</f>
        <v>0</v>
      </c>
    </row>
    <row r="422" spans="1:6">
      <c r="B422" s="95"/>
      <c r="C422" s="95"/>
      <c r="D422" s="274" t="s">
        <v>20</v>
      </c>
      <c r="E422" s="275"/>
      <c r="F422" s="276">
        <f>F421/F408</f>
        <v>0</v>
      </c>
    </row>
    <row r="424" spans="1:6">
      <c r="A424" s="261" t="s">
        <v>564</v>
      </c>
      <c r="B424" s="261"/>
      <c r="C424" s="261" t="s">
        <v>8</v>
      </c>
      <c r="D424" s="261">
        <v>3</v>
      </c>
      <c r="E424" s="261">
        <v>3</v>
      </c>
      <c r="F424" s="261"/>
    </row>
    <row r="425" spans="1:6">
      <c r="A425" s="283"/>
      <c r="B425" s="243" t="s">
        <v>4</v>
      </c>
      <c r="C425" s="244" t="s">
        <v>5</v>
      </c>
      <c r="D425" s="244" t="s">
        <v>297</v>
      </c>
      <c r="E425" s="244" t="s">
        <v>14</v>
      </c>
      <c r="F425" s="244" t="s">
        <v>344</v>
      </c>
    </row>
    <row r="426" spans="1:6" ht="15">
      <c r="A426" s="284" t="s">
        <v>565</v>
      </c>
      <c r="B426" s="253">
        <v>3.1745498521902715</v>
      </c>
      <c r="C426" s="286" t="s">
        <v>7</v>
      </c>
      <c r="D426" s="260"/>
      <c r="E426" s="498">
        <f t="shared" ref="E426:E436" si="17">D426*0.18</f>
        <v>0</v>
      </c>
      <c r="F426" s="499">
        <f t="shared" ref="F426:F434" si="18">+B426*(D426+E426)</f>
        <v>0</v>
      </c>
    </row>
    <row r="427" spans="1:6" ht="15">
      <c r="A427" s="284" t="s">
        <v>566</v>
      </c>
      <c r="B427" s="500">
        <v>8.2656000000000009</v>
      </c>
      <c r="C427" s="286" t="s">
        <v>7</v>
      </c>
      <c r="D427" s="254"/>
      <c r="E427" s="498">
        <f t="shared" si="17"/>
        <v>0</v>
      </c>
      <c r="F427" s="499">
        <f t="shared" si="18"/>
        <v>0</v>
      </c>
    </row>
    <row r="428" spans="1:6" ht="15">
      <c r="A428" s="284" t="s">
        <v>333</v>
      </c>
      <c r="B428" s="500">
        <v>4.1328000000000005</v>
      </c>
      <c r="C428" s="286" t="s">
        <v>7</v>
      </c>
      <c r="D428" s="254"/>
      <c r="E428" s="498">
        <f t="shared" si="17"/>
        <v>0</v>
      </c>
      <c r="F428" s="499">
        <f t="shared" si="18"/>
        <v>0</v>
      </c>
    </row>
    <row r="429" spans="1:6" ht="15">
      <c r="A429" s="284" t="s">
        <v>335</v>
      </c>
      <c r="B429" s="500">
        <v>7.2</v>
      </c>
      <c r="C429" s="286" t="s">
        <v>336</v>
      </c>
      <c r="D429" s="254"/>
      <c r="E429" s="498">
        <f t="shared" si="17"/>
        <v>0</v>
      </c>
      <c r="F429" s="499">
        <f t="shared" si="18"/>
        <v>0</v>
      </c>
    </row>
    <row r="430" spans="1:6">
      <c r="A430" s="284" t="s">
        <v>337</v>
      </c>
      <c r="B430" s="500">
        <v>0.8</v>
      </c>
      <c r="C430" s="286" t="s">
        <v>7</v>
      </c>
      <c r="D430" s="501"/>
      <c r="E430" s="498">
        <f t="shared" si="17"/>
        <v>0</v>
      </c>
      <c r="F430" s="499">
        <f t="shared" si="18"/>
        <v>0</v>
      </c>
    </row>
    <row r="431" spans="1:6">
      <c r="A431" s="284" t="s">
        <v>338</v>
      </c>
      <c r="B431" s="500">
        <v>2</v>
      </c>
      <c r="C431" s="286" t="s">
        <v>118</v>
      </c>
      <c r="D431" s="501"/>
      <c r="E431" s="498">
        <f t="shared" si="17"/>
        <v>0</v>
      </c>
      <c r="F431" s="499">
        <f t="shared" si="18"/>
        <v>0</v>
      </c>
    </row>
    <row r="432" spans="1:6">
      <c r="A432" s="284" t="s">
        <v>567</v>
      </c>
      <c r="B432" s="500">
        <v>1.5</v>
      </c>
      <c r="C432" s="286" t="s">
        <v>118</v>
      </c>
      <c r="D432" s="501"/>
      <c r="E432" s="498">
        <f t="shared" si="17"/>
        <v>0</v>
      </c>
      <c r="F432" s="499">
        <f t="shared" si="18"/>
        <v>0</v>
      </c>
    </row>
    <row r="433" spans="1:6">
      <c r="A433" s="284" t="s">
        <v>339</v>
      </c>
      <c r="B433" s="500">
        <v>20</v>
      </c>
      <c r="C433" s="286" t="s">
        <v>7</v>
      </c>
      <c r="D433" s="501"/>
      <c r="E433" s="498">
        <f t="shared" si="17"/>
        <v>0</v>
      </c>
      <c r="F433" s="499">
        <f t="shared" si="18"/>
        <v>0</v>
      </c>
    </row>
    <row r="434" spans="1:6">
      <c r="A434" s="284" t="s">
        <v>340</v>
      </c>
      <c r="B434" s="500">
        <v>20</v>
      </c>
      <c r="C434" s="286" t="s">
        <v>7</v>
      </c>
      <c r="D434" s="253"/>
      <c r="E434" s="498">
        <f t="shared" si="17"/>
        <v>0</v>
      </c>
      <c r="F434" s="499">
        <f t="shared" si="18"/>
        <v>0</v>
      </c>
    </row>
    <row r="435" spans="1:6" ht="15">
      <c r="A435" s="251" t="s">
        <v>568</v>
      </c>
      <c r="B435" s="257">
        <v>1</v>
      </c>
      <c r="C435" s="253" t="s">
        <v>118</v>
      </c>
      <c r="D435" s="254"/>
      <c r="E435" s="273">
        <f t="shared" si="17"/>
        <v>0</v>
      </c>
      <c r="F435" s="256">
        <f>B435*(D435+E435)</f>
        <v>0</v>
      </c>
    </row>
    <row r="436" spans="1:6" ht="15">
      <c r="A436" s="251" t="s">
        <v>243</v>
      </c>
      <c r="B436" s="257">
        <v>9</v>
      </c>
      <c r="C436" s="253" t="s">
        <v>8</v>
      </c>
      <c r="D436" s="254"/>
      <c r="E436" s="273">
        <f t="shared" si="17"/>
        <v>0</v>
      </c>
      <c r="F436" s="256">
        <f>B436*(D436+E436)</f>
        <v>0</v>
      </c>
    </row>
    <row r="437" spans="1:6">
      <c r="A437" s="502" t="s">
        <v>45</v>
      </c>
      <c r="B437" s="500"/>
      <c r="C437" s="286"/>
      <c r="D437" s="501"/>
      <c r="E437" s="498"/>
      <c r="F437" s="499"/>
    </row>
    <row r="438" spans="1:6">
      <c r="A438" s="284" t="s">
        <v>569</v>
      </c>
      <c r="B438" s="500">
        <v>9</v>
      </c>
      <c r="C438" s="286" t="s">
        <v>8</v>
      </c>
      <c r="D438" s="501"/>
      <c r="E438" s="498"/>
      <c r="F438" s="499">
        <f>+B438*(D438+E438)</f>
        <v>0</v>
      </c>
    </row>
    <row r="439" spans="1:6">
      <c r="A439" s="503"/>
      <c r="B439" s="504"/>
      <c r="C439" s="505"/>
      <c r="D439" s="506" t="s">
        <v>7</v>
      </c>
      <c r="E439" s="507"/>
      <c r="F439" s="508">
        <f>SUM(F426:F438)</f>
        <v>0</v>
      </c>
    </row>
    <row r="440" spans="1:6">
      <c r="A440" s="509"/>
      <c r="B440" s="509"/>
      <c r="C440" s="509"/>
      <c r="D440" s="510" t="s">
        <v>8</v>
      </c>
      <c r="E440" s="275"/>
      <c r="F440" s="276">
        <f>F439/(E424*D424)</f>
        <v>0</v>
      </c>
    </row>
    <row r="442" spans="1:6">
      <c r="A442" s="261" t="s">
        <v>379</v>
      </c>
      <c r="B442" s="243">
        <v>1</v>
      </c>
      <c r="C442" s="244" t="s">
        <v>17</v>
      </c>
      <c r="D442" s="244"/>
      <c r="E442" s="244"/>
      <c r="F442" s="244"/>
    </row>
    <row r="443" spans="1:6">
      <c r="A443" s="283"/>
      <c r="B443" s="243" t="s">
        <v>4</v>
      </c>
      <c r="C443" s="244" t="s">
        <v>5</v>
      </c>
      <c r="D443" s="244" t="s">
        <v>297</v>
      </c>
      <c r="E443" s="244" t="s">
        <v>14</v>
      </c>
      <c r="F443" s="244" t="s">
        <v>344</v>
      </c>
    </row>
    <row r="444" spans="1:6" ht="15">
      <c r="A444" s="284" t="s">
        <v>376</v>
      </c>
      <c r="B444" s="285">
        <v>1</v>
      </c>
      <c r="C444" s="286" t="s">
        <v>17</v>
      </c>
      <c r="D444" s="254"/>
      <c r="E444" s="255">
        <f>D444*0.18</f>
        <v>0</v>
      </c>
      <c r="F444" s="256">
        <f>+B444*(D444+E444)</f>
        <v>0</v>
      </c>
    </row>
    <row r="445" spans="1:6" ht="15">
      <c r="A445" s="284" t="s">
        <v>377</v>
      </c>
      <c r="B445" s="285">
        <v>1</v>
      </c>
      <c r="C445" s="286" t="s">
        <v>17</v>
      </c>
      <c r="D445" s="254"/>
      <c r="E445" s="255">
        <f>D445*0.18</f>
        <v>0</v>
      </c>
      <c r="F445" s="256">
        <f>+B445*(D445+E445)</f>
        <v>0</v>
      </c>
    </row>
    <row r="446" spans="1:6" ht="15">
      <c r="A446" s="284" t="s">
        <v>408</v>
      </c>
      <c r="B446" s="285">
        <v>1</v>
      </c>
      <c r="C446" s="286" t="s">
        <v>17</v>
      </c>
      <c r="D446" s="254"/>
      <c r="E446" s="255">
        <f>D446*0.18</f>
        <v>0</v>
      </c>
      <c r="F446" s="256">
        <f>+B446*(D446+E446)</f>
        <v>0</v>
      </c>
    </row>
    <row r="447" spans="1:6" ht="15">
      <c r="A447" s="248" t="s">
        <v>186</v>
      </c>
      <c r="B447" s="287"/>
      <c r="C447" s="288"/>
      <c r="D447" s="254"/>
      <c r="E447" s="255"/>
      <c r="F447" s="256"/>
    </row>
    <row r="448" spans="1:6" ht="15">
      <c r="A448" s="284" t="s">
        <v>378</v>
      </c>
      <c r="B448" s="285">
        <v>1</v>
      </c>
      <c r="C448" s="286" t="s">
        <v>17</v>
      </c>
      <c r="D448" s="254"/>
      <c r="E448" s="255"/>
      <c r="F448" s="256">
        <f>B448*(D448+E448)</f>
        <v>0</v>
      </c>
    </row>
    <row r="449" spans="1:6" ht="15.6">
      <c r="D449" s="205" t="s">
        <v>17</v>
      </c>
      <c r="E449" s="206"/>
      <c r="F449" s="207">
        <f>SUM(F444:F448)</f>
        <v>0</v>
      </c>
    </row>
    <row r="450" spans="1:6" ht="15.6">
      <c r="D450" s="293"/>
      <c r="E450" s="294"/>
      <c r="F450" s="293"/>
    </row>
    <row r="451" spans="1:6">
      <c r="A451" s="261" t="s">
        <v>406</v>
      </c>
      <c r="B451" s="243">
        <v>1</v>
      </c>
      <c r="C451" s="244" t="s">
        <v>17</v>
      </c>
      <c r="D451" s="244"/>
      <c r="E451" s="244"/>
      <c r="F451" s="244"/>
    </row>
    <row r="452" spans="1:6">
      <c r="A452" s="283"/>
      <c r="B452" s="243" t="s">
        <v>4</v>
      </c>
      <c r="C452" s="244" t="s">
        <v>5</v>
      </c>
      <c r="D452" s="244" t="s">
        <v>297</v>
      </c>
      <c r="E452" s="244" t="s">
        <v>14</v>
      </c>
      <c r="F452" s="244" t="s">
        <v>344</v>
      </c>
    </row>
    <row r="453" spans="1:6" ht="15">
      <c r="A453" s="284" t="s">
        <v>376</v>
      </c>
      <c r="B453" s="285">
        <v>1</v>
      </c>
      <c r="C453" s="286" t="s">
        <v>17</v>
      </c>
      <c r="D453" s="254"/>
      <c r="E453" s="255">
        <f>D453*0.18</f>
        <v>0</v>
      </c>
      <c r="F453" s="256">
        <f>+B453*(D453+E453)</f>
        <v>0</v>
      </c>
    </row>
    <row r="454" spans="1:6" ht="15">
      <c r="A454" s="284" t="s">
        <v>413</v>
      </c>
      <c r="B454" s="285">
        <v>1</v>
      </c>
      <c r="C454" s="286" t="s">
        <v>17</v>
      </c>
      <c r="D454" s="254"/>
      <c r="E454" s="255">
        <f>D454*0.18</f>
        <v>0</v>
      </c>
      <c r="F454" s="256">
        <f>+B454*(D454+E454)</f>
        <v>0</v>
      </c>
    </row>
    <row r="455" spans="1:6" ht="15">
      <c r="A455" s="284" t="s">
        <v>407</v>
      </c>
      <c r="B455" s="285">
        <v>2</v>
      </c>
      <c r="C455" s="286" t="s">
        <v>17</v>
      </c>
      <c r="D455" s="254"/>
      <c r="E455" s="255">
        <f>D455*0.18</f>
        <v>0</v>
      </c>
      <c r="F455" s="256">
        <f>+B455*(D455+E455)</f>
        <v>0</v>
      </c>
    </row>
    <row r="456" spans="1:6" ht="15">
      <c r="A456" s="284" t="s">
        <v>408</v>
      </c>
      <c r="B456" s="285">
        <v>1</v>
      </c>
      <c r="C456" s="286" t="s">
        <v>17</v>
      </c>
      <c r="D456" s="254"/>
      <c r="E456" s="255">
        <f>D456*0.18</f>
        <v>0</v>
      </c>
      <c r="F456" s="256">
        <f>+B456*(D456+E456)</f>
        <v>0</v>
      </c>
    </row>
    <row r="457" spans="1:6" ht="15">
      <c r="A457" s="284"/>
      <c r="B457" s="285"/>
      <c r="C457" s="286"/>
      <c r="D457" s="254"/>
      <c r="E457" s="255"/>
      <c r="F457" s="256"/>
    </row>
    <row r="458" spans="1:6" ht="15">
      <c r="A458" s="248" t="s">
        <v>186</v>
      </c>
      <c r="B458" s="287"/>
      <c r="C458" s="288"/>
      <c r="D458" s="254"/>
      <c r="E458" s="255"/>
      <c r="F458" s="256"/>
    </row>
    <row r="459" spans="1:6" ht="15">
      <c r="A459" s="284" t="s">
        <v>378</v>
      </c>
      <c r="B459" s="285">
        <v>1</v>
      </c>
      <c r="C459" s="286" t="s">
        <v>17</v>
      </c>
      <c r="D459" s="254"/>
      <c r="E459" s="255"/>
      <c r="F459" s="256">
        <f>B459*(D459+E459)</f>
        <v>0</v>
      </c>
    </row>
    <row r="460" spans="1:6" ht="15.6">
      <c r="D460" s="205" t="s">
        <v>17</v>
      </c>
      <c r="E460" s="206"/>
      <c r="F460" s="207">
        <f>SUM(F453:F459)</f>
        <v>0</v>
      </c>
    </row>
    <row r="461" spans="1:6" ht="15.6">
      <c r="D461" s="295"/>
      <c r="E461" s="296"/>
      <c r="F461" s="297"/>
    </row>
    <row r="462" spans="1:6" ht="41.4">
      <c r="A462" s="261" t="s">
        <v>380</v>
      </c>
      <c r="B462" s="243">
        <v>1</v>
      </c>
      <c r="C462" s="244" t="s">
        <v>17</v>
      </c>
      <c r="D462" s="244" t="s">
        <v>297</v>
      </c>
      <c r="E462" s="244" t="s">
        <v>14</v>
      </c>
      <c r="F462" s="244" t="s">
        <v>344</v>
      </c>
    </row>
    <row r="463" spans="1:6" ht="28.2">
      <c r="A463" s="289" t="s">
        <v>381</v>
      </c>
      <c r="B463" s="285">
        <v>1</v>
      </c>
      <c r="C463" s="286" t="s">
        <v>7</v>
      </c>
      <c r="D463" s="254"/>
      <c r="E463" s="255">
        <f t="shared" ref="E463:E468" si="19">D463*0.18</f>
        <v>0</v>
      </c>
      <c r="F463" s="256">
        <f t="shared" ref="F463:F468" si="20">+B463*(D463+E463)</f>
        <v>0</v>
      </c>
    </row>
    <row r="464" spans="1:6" ht="28.2">
      <c r="A464" s="289" t="s">
        <v>386</v>
      </c>
      <c r="B464" s="285">
        <f>2*1*2.1*10.76</f>
        <v>45.192</v>
      </c>
      <c r="C464" s="286" t="s">
        <v>35</v>
      </c>
      <c r="D464" s="254"/>
      <c r="E464" s="255">
        <f t="shared" si="19"/>
        <v>0</v>
      </c>
      <c r="F464" s="256">
        <f t="shared" si="20"/>
        <v>0</v>
      </c>
    </row>
    <row r="465" spans="1:6" ht="15">
      <c r="A465" s="289" t="s">
        <v>382</v>
      </c>
      <c r="B465" s="285">
        <v>1</v>
      </c>
      <c r="C465" s="286" t="s">
        <v>7</v>
      </c>
      <c r="D465" s="254"/>
      <c r="E465" s="255">
        <f t="shared" si="19"/>
        <v>0</v>
      </c>
      <c r="F465" s="256">
        <f t="shared" si="20"/>
        <v>0</v>
      </c>
    </row>
    <row r="466" spans="1:6" ht="15">
      <c r="A466" s="284" t="s">
        <v>383</v>
      </c>
      <c r="B466" s="285">
        <v>1</v>
      </c>
      <c r="C466" s="286" t="s">
        <v>7</v>
      </c>
      <c r="D466" s="254"/>
      <c r="E466" s="255">
        <f t="shared" si="19"/>
        <v>0</v>
      </c>
      <c r="F466" s="256">
        <f t="shared" si="20"/>
        <v>0</v>
      </c>
    </row>
    <row r="467" spans="1:6" ht="15">
      <c r="A467" s="284" t="s">
        <v>384</v>
      </c>
      <c r="B467" s="285">
        <v>1</v>
      </c>
      <c r="C467" s="286" t="s">
        <v>7</v>
      </c>
      <c r="D467" s="254"/>
      <c r="E467" s="255">
        <f t="shared" si="19"/>
        <v>0</v>
      </c>
      <c r="F467" s="256">
        <f t="shared" si="20"/>
        <v>0</v>
      </c>
    </row>
    <row r="468" spans="1:6" ht="15">
      <c r="A468" s="284" t="s">
        <v>385</v>
      </c>
      <c r="B468" s="285">
        <v>1</v>
      </c>
      <c r="C468" s="286" t="s">
        <v>7</v>
      </c>
      <c r="D468" s="254"/>
      <c r="E468" s="255">
        <f t="shared" si="19"/>
        <v>0</v>
      </c>
      <c r="F468" s="256">
        <f t="shared" si="20"/>
        <v>0</v>
      </c>
    </row>
    <row r="469" spans="1:6" ht="15">
      <c r="A469" s="248" t="s">
        <v>186</v>
      </c>
      <c r="B469" s="287"/>
      <c r="C469" s="288"/>
      <c r="D469" s="254"/>
      <c r="E469" s="255"/>
      <c r="F469" s="256"/>
    </row>
    <row r="470" spans="1:6" ht="15">
      <c r="A470" s="284" t="s">
        <v>378</v>
      </c>
      <c r="B470" s="285">
        <v>1</v>
      </c>
      <c r="C470" s="286" t="s">
        <v>17</v>
      </c>
      <c r="D470" s="254"/>
      <c r="E470" s="255"/>
      <c r="F470" s="256">
        <f>B470*(D470+E470)</f>
        <v>0</v>
      </c>
    </row>
    <row r="471" spans="1:6" ht="15.6">
      <c r="D471" s="205" t="s">
        <v>17</v>
      </c>
      <c r="E471" s="206"/>
      <c r="F471" s="207">
        <f>SUM(F463:F470)</f>
        <v>0</v>
      </c>
    </row>
    <row r="473" spans="1:6" ht="41.4">
      <c r="A473" s="261" t="s">
        <v>396</v>
      </c>
      <c r="B473" s="243">
        <v>1</v>
      </c>
      <c r="C473" s="244" t="s">
        <v>17</v>
      </c>
      <c r="D473" s="244"/>
      <c r="E473" s="244"/>
      <c r="F473" s="244"/>
    </row>
    <row r="474" spans="1:6" ht="15">
      <c r="A474" s="284" t="s">
        <v>387</v>
      </c>
      <c r="B474" s="285">
        <v>2</v>
      </c>
      <c r="C474" s="286" t="s">
        <v>388</v>
      </c>
      <c r="D474" s="254"/>
      <c r="E474" s="255">
        <f t="shared" ref="E474:E480" si="21">D474*0.18</f>
        <v>0</v>
      </c>
      <c r="F474" s="256">
        <f t="shared" ref="F474:F480" si="22">+B474*(D474+E474)</f>
        <v>0</v>
      </c>
    </row>
    <row r="475" spans="1:6" ht="15">
      <c r="A475" s="284" t="s">
        <v>389</v>
      </c>
      <c r="B475" s="285">
        <v>2</v>
      </c>
      <c r="C475" s="286" t="s">
        <v>7</v>
      </c>
      <c r="D475" s="254"/>
      <c r="E475" s="255">
        <f t="shared" si="21"/>
        <v>0</v>
      </c>
      <c r="F475" s="256">
        <f t="shared" si="22"/>
        <v>0</v>
      </c>
    </row>
    <row r="476" spans="1:6" ht="15">
      <c r="A476" s="284" t="s">
        <v>390</v>
      </c>
      <c r="B476" s="285">
        <v>2</v>
      </c>
      <c r="C476" s="286" t="s">
        <v>7</v>
      </c>
      <c r="D476" s="254"/>
      <c r="E476" s="255">
        <f t="shared" si="21"/>
        <v>0</v>
      </c>
      <c r="F476" s="256">
        <f t="shared" si="22"/>
        <v>0</v>
      </c>
    </row>
    <row r="477" spans="1:6" ht="15">
      <c r="A477" s="284" t="s">
        <v>391</v>
      </c>
      <c r="B477" s="285">
        <v>2</v>
      </c>
      <c r="C477" s="286" t="s">
        <v>7</v>
      </c>
      <c r="D477" s="254"/>
      <c r="E477" s="255">
        <f t="shared" si="21"/>
        <v>0</v>
      </c>
      <c r="F477" s="256">
        <f t="shared" si="22"/>
        <v>0</v>
      </c>
    </row>
    <row r="478" spans="1:6" ht="15">
      <c r="A478" s="284" t="s">
        <v>392</v>
      </c>
      <c r="B478" s="285">
        <v>2</v>
      </c>
      <c r="C478" s="286" t="s">
        <v>7</v>
      </c>
      <c r="D478" s="254"/>
      <c r="E478" s="255">
        <f t="shared" si="21"/>
        <v>0</v>
      </c>
      <c r="F478" s="256">
        <f t="shared" si="22"/>
        <v>0</v>
      </c>
    </row>
    <row r="479" spans="1:6" ht="15">
      <c r="A479" s="284" t="s">
        <v>393</v>
      </c>
      <c r="B479" s="285">
        <v>2</v>
      </c>
      <c r="C479" s="286" t="s">
        <v>7</v>
      </c>
      <c r="D479" s="254"/>
      <c r="E479" s="255">
        <f t="shared" si="21"/>
        <v>0</v>
      </c>
      <c r="F479" s="256">
        <f t="shared" si="22"/>
        <v>0</v>
      </c>
    </row>
    <row r="480" spans="1:6" ht="15">
      <c r="A480" s="284" t="s">
        <v>394</v>
      </c>
      <c r="B480" s="285">
        <v>2</v>
      </c>
      <c r="C480" s="286" t="s">
        <v>7</v>
      </c>
      <c r="D480" s="254"/>
      <c r="E480" s="255">
        <f t="shared" si="21"/>
        <v>0</v>
      </c>
      <c r="F480" s="256">
        <f t="shared" si="22"/>
        <v>0</v>
      </c>
    </row>
    <row r="481" spans="1:6" ht="15">
      <c r="A481" s="248" t="s">
        <v>186</v>
      </c>
      <c r="B481" s="287"/>
      <c r="C481" s="288"/>
      <c r="D481" s="254"/>
      <c r="E481" s="255"/>
      <c r="F481" s="256"/>
    </row>
    <row r="482" spans="1:6" ht="15">
      <c r="A482" s="284" t="s">
        <v>395</v>
      </c>
      <c r="B482" s="285">
        <v>2</v>
      </c>
      <c r="C482" s="286" t="s">
        <v>388</v>
      </c>
      <c r="D482" s="254"/>
      <c r="E482" s="255"/>
      <c r="F482" s="256">
        <f>B482*(D482+E482)</f>
        <v>0</v>
      </c>
    </row>
    <row r="483" spans="1:6" ht="15.6">
      <c r="D483" s="205" t="s">
        <v>17</v>
      </c>
      <c r="E483" s="206"/>
      <c r="F483" s="207">
        <f>SUM(F474:F482)</f>
        <v>0</v>
      </c>
    </row>
    <row r="484" spans="1:6">
      <c r="A484" s="261" t="s">
        <v>397</v>
      </c>
      <c r="B484" s="243">
        <v>1</v>
      </c>
      <c r="C484" s="244" t="s">
        <v>17</v>
      </c>
      <c r="D484" s="244"/>
      <c r="E484" s="244"/>
      <c r="F484" s="290"/>
    </row>
    <row r="485" spans="1:6" ht="15">
      <c r="A485" s="284" t="s">
        <v>387</v>
      </c>
      <c r="B485" s="285">
        <f>1*2.1</f>
        <v>2.1</v>
      </c>
      <c r="C485" s="286" t="s">
        <v>8</v>
      </c>
      <c r="D485" s="285"/>
      <c r="E485" s="291">
        <f t="shared" ref="E485:E491" si="23">D485*0.18</f>
        <v>0</v>
      </c>
      <c r="F485" s="256">
        <f t="shared" ref="F485:F491" si="24">+B485*(D485+E485)</f>
        <v>0</v>
      </c>
    </row>
    <row r="486" spans="1:6" ht="15">
      <c r="A486" s="284" t="s">
        <v>389</v>
      </c>
      <c r="B486" s="285">
        <v>1</v>
      </c>
      <c r="C486" s="286" t="s">
        <v>7</v>
      </c>
      <c r="D486" s="285"/>
      <c r="E486" s="291">
        <f t="shared" si="23"/>
        <v>0</v>
      </c>
      <c r="F486" s="256">
        <f t="shared" si="24"/>
        <v>0</v>
      </c>
    </row>
    <row r="487" spans="1:6" ht="15">
      <c r="A487" s="284" t="s">
        <v>390</v>
      </c>
      <c r="B487" s="285">
        <v>1</v>
      </c>
      <c r="C487" s="286" t="s">
        <v>7</v>
      </c>
      <c r="D487" s="285"/>
      <c r="E487" s="291">
        <f t="shared" si="23"/>
        <v>0</v>
      </c>
      <c r="F487" s="256">
        <f t="shared" si="24"/>
        <v>0</v>
      </c>
    </row>
    <row r="488" spans="1:6" ht="15">
      <c r="A488" s="284" t="s">
        <v>391</v>
      </c>
      <c r="B488" s="285">
        <v>1</v>
      </c>
      <c r="C488" s="286" t="s">
        <v>7</v>
      </c>
      <c r="D488" s="285"/>
      <c r="E488" s="291">
        <f t="shared" si="23"/>
        <v>0</v>
      </c>
      <c r="F488" s="256">
        <f t="shared" si="24"/>
        <v>0</v>
      </c>
    </row>
    <row r="489" spans="1:6" ht="15">
      <c r="A489" s="284" t="s">
        <v>392</v>
      </c>
      <c r="B489" s="285">
        <v>1</v>
      </c>
      <c r="C489" s="286" t="s">
        <v>7</v>
      </c>
      <c r="D489" s="285"/>
      <c r="E489" s="291">
        <f t="shared" si="23"/>
        <v>0</v>
      </c>
      <c r="F489" s="256">
        <f t="shared" si="24"/>
        <v>0</v>
      </c>
    </row>
    <row r="490" spans="1:6" ht="15">
      <c r="A490" s="284" t="s">
        <v>393</v>
      </c>
      <c r="B490" s="285">
        <v>1</v>
      </c>
      <c r="C490" s="286" t="s">
        <v>7</v>
      </c>
      <c r="D490" s="285"/>
      <c r="E490" s="291">
        <f t="shared" si="23"/>
        <v>0</v>
      </c>
      <c r="F490" s="256">
        <f t="shared" si="24"/>
        <v>0</v>
      </c>
    </row>
    <row r="491" spans="1:6" ht="15">
      <c r="A491" s="284" t="s">
        <v>394</v>
      </c>
      <c r="B491" s="285">
        <v>1</v>
      </c>
      <c r="C491" s="286" t="s">
        <v>7</v>
      </c>
      <c r="D491" s="285"/>
      <c r="E491" s="291">
        <f t="shared" si="23"/>
        <v>0</v>
      </c>
      <c r="F491" s="256">
        <f t="shared" si="24"/>
        <v>0</v>
      </c>
    </row>
    <row r="492" spans="1:6" ht="15">
      <c r="A492" s="248" t="s">
        <v>186</v>
      </c>
      <c r="B492" s="287"/>
      <c r="C492" s="288"/>
      <c r="D492" s="285"/>
      <c r="E492" s="291"/>
      <c r="F492" s="256"/>
    </row>
    <row r="493" spans="1:6" ht="15">
      <c r="A493" s="284" t="s">
        <v>395</v>
      </c>
      <c r="B493" s="285">
        <v>1</v>
      </c>
      <c r="C493" s="286" t="s">
        <v>7</v>
      </c>
      <c r="D493" s="285"/>
      <c r="E493" s="291"/>
      <c r="F493" s="256">
        <f>B493*(D493+E493)</f>
        <v>0</v>
      </c>
    </row>
    <row r="494" spans="1:6" ht="15.6">
      <c r="B494" s="292"/>
      <c r="C494" s="292"/>
      <c r="D494" s="205" t="s">
        <v>17</v>
      </c>
      <c r="E494" s="206"/>
      <c r="F494" s="207">
        <f>SUM(F485:F493)</f>
        <v>0</v>
      </c>
    </row>
    <row r="496" spans="1:6" ht="15.6">
      <c r="A496" s="317" t="s">
        <v>417</v>
      </c>
      <c r="B496" s="95"/>
      <c r="C496" s="95"/>
      <c r="D496" s="95"/>
      <c r="E496" s="95"/>
      <c r="F496" s="95"/>
    </row>
    <row r="497" spans="1:7">
      <c r="B497" s="307" t="s">
        <v>330</v>
      </c>
      <c r="C497" s="307" t="s">
        <v>420</v>
      </c>
      <c r="D497" s="307" t="s">
        <v>227</v>
      </c>
      <c r="E497" s="307" t="s">
        <v>14</v>
      </c>
      <c r="F497" s="307" t="s">
        <v>33</v>
      </c>
    </row>
    <row r="498" spans="1:7">
      <c r="A498" s="305" t="s">
        <v>424</v>
      </c>
      <c r="B498" s="309">
        <v>1</v>
      </c>
      <c r="C498" s="310" t="s">
        <v>74</v>
      </c>
      <c r="D498" s="315"/>
      <c r="E498" s="318">
        <f>0.18*D498</f>
        <v>0</v>
      </c>
      <c r="F498" s="315">
        <f>B498*(D498+E498)</f>
        <v>0</v>
      </c>
    </row>
    <row r="499" spans="1:7">
      <c r="A499" s="305" t="s">
        <v>421</v>
      </c>
      <c r="B499" s="309">
        <v>3</v>
      </c>
      <c r="C499" s="310" t="s">
        <v>116</v>
      </c>
      <c r="D499" s="315"/>
      <c r="E499" s="318">
        <f>0.18*D499</f>
        <v>0</v>
      </c>
      <c r="F499" s="315">
        <f>B499*(D499+E499)</f>
        <v>0</v>
      </c>
    </row>
    <row r="500" spans="1:7">
      <c r="A500" s="305" t="s">
        <v>422</v>
      </c>
      <c r="B500" s="309">
        <v>0.3</v>
      </c>
      <c r="C500" s="310" t="s">
        <v>423</v>
      </c>
      <c r="D500" s="315"/>
      <c r="E500" s="318"/>
      <c r="F500" s="315">
        <f>B500*(D500+E500)</f>
        <v>0</v>
      </c>
    </row>
    <row r="501" spans="1:7">
      <c r="B501" s="95"/>
      <c r="C501" s="95"/>
      <c r="D501" s="95">
        <f>B498*D498+B499*D499+B500*D500</f>
        <v>0</v>
      </c>
      <c r="E501" s="95">
        <f>B498*E498+B499*E499</f>
        <v>0</v>
      </c>
      <c r="F501" s="315">
        <f>SUM(F498:F500)</f>
        <v>0</v>
      </c>
    </row>
    <row r="502" spans="1:7">
      <c r="B502" s="95"/>
      <c r="C502" s="95"/>
      <c r="D502" s="95"/>
      <c r="E502" s="95"/>
      <c r="F502" s="95"/>
    </row>
    <row r="503" spans="1:7">
      <c r="A503" s="304" t="s">
        <v>415</v>
      </c>
      <c r="B503" s="75"/>
      <c r="C503" s="75"/>
      <c r="D503" s="75"/>
      <c r="E503" s="75"/>
      <c r="F503" s="75"/>
      <c r="G503" s="95"/>
    </row>
    <row r="504" spans="1:7">
      <c r="A504" s="304"/>
      <c r="B504" s="307" t="s">
        <v>330</v>
      </c>
      <c r="C504" s="307" t="s">
        <v>420</v>
      </c>
      <c r="D504" s="307" t="s">
        <v>227</v>
      </c>
      <c r="E504" s="307" t="s">
        <v>14</v>
      </c>
      <c r="F504" s="307" t="s">
        <v>33</v>
      </c>
      <c r="G504" s="95"/>
    </row>
    <row r="505" spans="1:7">
      <c r="A505" s="305" t="s">
        <v>299</v>
      </c>
      <c r="B505" s="306">
        <v>6.45</v>
      </c>
      <c r="C505" s="307" t="s">
        <v>116</v>
      </c>
      <c r="D505" s="306"/>
      <c r="E505" s="306">
        <f>0.18*D505</f>
        <v>0</v>
      </c>
      <c r="F505" s="308">
        <f>B505*(D505+E505)</f>
        <v>0</v>
      </c>
      <c r="G505" s="95"/>
    </row>
    <row r="506" spans="1:7">
      <c r="A506" s="305" t="s">
        <v>303</v>
      </c>
      <c r="B506" s="306">
        <v>70</v>
      </c>
      <c r="C506" s="307" t="s">
        <v>416</v>
      </c>
      <c r="D506" s="306"/>
      <c r="E506" s="306">
        <f t="shared" ref="E506" si="25">0.18*D506</f>
        <v>0</v>
      </c>
      <c r="F506" s="308">
        <f t="shared" ref="F506:F508" si="26">B506*(D506+E506)</f>
        <v>0</v>
      </c>
      <c r="G506" s="95"/>
    </row>
    <row r="507" spans="1:7">
      <c r="A507" s="305" t="s">
        <v>417</v>
      </c>
      <c r="B507" s="306">
        <v>1.05</v>
      </c>
      <c r="C507" s="307" t="s">
        <v>74</v>
      </c>
      <c r="D507" s="306"/>
      <c r="E507" s="306">
        <f>E501</f>
        <v>0</v>
      </c>
      <c r="F507" s="308">
        <f t="shared" si="26"/>
        <v>0</v>
      </c>
      <c r="G507" s="95"/>
    </row>
    <row r="508" spans="1:7">
      <c r="A508" s="305" t="s">
        <v>418</v>
      </c>
      <c r="B508" s="315">
        <v>0.5</v>
      </c>
      <c r="C508" s="316" t="s">
        <v>419</v>
      </c>
      <c r="D508" s="306"/>
      <c r="E508" s="311"/>
      <c r="F508" s="308">
        <f t="shared" si="26"/>
        <v>0</v>
      </c>
      <c r="G508" s="95"/>
    </row>
    <row r="509" spans="1:7">
      <c r="A509" s="312"/>
      <c r="B509" s="75"/>
      <c r="C509" s="313"/>
      <c r="D509" s="75"/>
      <c r="E509" s="319" t="s">
        <v>195</v>
      </c>
      <c r="F509" s="314">
        <f>SUM(F505:F508)</f>
        <v>0</v>
      </c>
      <c r="G509" s="95"/>
    </row>
    <row r="510" spans="1:7" ht="15" thickBot="1">
      <c r="A510" s="312" t="s">
        <v>425</v>
      </c>
      <c r="B510" s="75">
        <v>1595</v>
      </c>
      <c r="C510" s="313"/>
      <c r="D510" s="75"/>
      <c r="E510" s="319"/>
      <c r="F510" s="314"/>
      <c r="G510" s="95">
        <f>40*2.2</f>
        <v>88</v>
      </c>
    </row>
    <row r="511" spans="1:7" ht="15" customHeight="1" thickBot="1">
      <c r="A511" s="585" t="s">
        <v>111</v>
      </c>
      <c r="B511" s="586"/>
      <c r="C511" s="586"/>
      <c r="D511" s="586"/>
      <c r="E511" s="586"/>
      <c r="F511" s="587"/>
    </row>
    <row r="512" spans="1:7" ht="15" customHeight="1">
      <c r="A512" s="116" t="s">
        <v>29</v>
      </c>
      <c r="B512" s="61" t="s">
        <v>30</v>
      </c>
      <c r="C512" s="62" t="s">
        <v>17</v>
      </c>
      <c r="D512" s="62" t="s">
        <v>31</v>
      </c>
      <c r="E512" s="63" t="s">
        <v>32</v>
      </c>
      <c r="F512" s="64" t="s">
        <v>33</v>
      </c>
    </row>
    <row r="513" spans="1:6" ht="15" customHeight="1">
      <c r="A513" s="117" t="s">
        <v>112</v>
      </c>
      <c r="B513" s="324">
        <v>3.5000000000000001E-3</v>
      </c>
      <c r="C513" s="118" t="s">
        <v>74</v>
      </c>
      <c r="D513" s="118">
        <v>1</v>
      </c>
      <c r="E513" s="119">
        <f>F509</f>
        <v>0</v>
      </c>
      <c r="F513" s="104">
        <f t="shared" ref="F513:F519" si="27">E513*B513/D513</f>
        <v>0</v>
      </c>
    </row>
    <row r="514" spans="1:6" s="322" customFormat="1" ht="30" customHeight="1">
      <c r="A514" s="320" t="s">
        <v>113</v>
      </c>
      <c r="B514" s="118">
        <v>1.1000000000000001</v>
      </c>
      <c r="C514" s="118" t="s">
        <v>8</v>
      </c>
      <c r="D514" s="118">
        <v>1</v>
      </c>
      <c r="E514" s="321"/>
      <c r="F514" s="303">
        <f t="shared" si="27"/>
        <v>0</v>
      </c>
    </row>
    <row r="515" spans="1:6" ht="15" customHeight="1">
      <c r="A515" s="117" t="s">
        <v>114</v>
      </c>
      <c r="B515" s="118">
        <v>5</v>
      </c>
      <c r="C515" s="118" t="s">
        <v>115</v>
      </c>
      <c r="D515" s="118">
        <v>1</v>
      </c>
      <c r="E515" s="323"/>
      <c r="F515" s="104">
        <f t="shared" si="27"/>
        <v>0</v>
      </c>
    </row>
    <row r="516" spans="1:6" ht="15" customHeight="1">
      <c r="A516" s="117" t="s">
        <v>502</v>
      </c>
      <c r="B516" s="324">
        <v>0.05</v>
      </c>
      <c r="C516" s="118" t="s">
        <v>116</v>
      </c>
      <c r="D516" s="118">
        <v>1</v>
      </c>
      <c r="E516" s="323"/>
      <c r="F516" s="104">
        <f t="shared" si="27"/>
        <v>0</v>
      </c>
    </row>
    <row r="517" spans="1:6" ht="15" customHeight="1">
      <c r="A517" s="117" t="s">
        <v>117</v>
      </c>
      <c r="B517" s="118">
        <v>0.05</v>
      </c>
      <c r="C517" s="118" t="s">
        <v>118</v>
      </c>
      <c r="D517" s="118">
        <v>1</v>
      </c>
      <c r="E517" s="119"/>
      <c r="F517" s="104">
        <f t="shared" si="27"/>
        <v>0</v>
      </c>
    </row>
    <row r="518" spans="1:6" ht="15" customHeight="1">
      <c r="A518" s="117" t="s">
        <v>119</v>
      </c>
      <c r="B518" s="118">
        <v>1</v>
      </c>
      <c r="C518" s="118" t="s">
        <v>8</v>
      </c>
      <c r="D518" s="118">
        <v>1</v>
      </c>
      <c r="E518" s="323"/>
      <c r="F518" s="104">
        <f t="shared" si="27"/>
        <v>0</v>
      </c>
    </row>
    <row r="519" spans="1:6" ht="15" customHeight="1">
      <c r="A519" s="117" t="s">
        <v>120</v>
      </c>
      <c r="B519" s="118">
        <v>0.5</v>
      </c>
      <c r="C519" s="118" t="s">
        <v>66</v>
      </c>
      <c r="D519" s="118">
        <v>25</v>
      </c>
      <c r="E519" s="119"/>
      <c r="F519" s="104">
        <f t="shared" si="27"/>
        <v>0</v>
      </c>
    </row>
    <row r="520" spans="1:6" ht="15" customHeight="1">
      <c r="A520" s="117"/>
      <c r="B520" s="120"/>
      <c r="C520" s="118"/>
      <c r="D520" s="118"/>
      <c r="E520" s="121" t="s">
        <v>20</v>
      </c>
      <c r="F520" s="122">
        <f>SUM(F513:F519)</f>
        <v>0</v>
      </c>
    </row>
    <row r="521" spans="1:6" ht="15" customHeight="1">
      <c r="E521" s="123" t="s">
        <v>14</v>
      </c>
      <c r="F521" s="124">
        <f>SUM(+F513+F514+F517+F519)*0.18</f>
        <v>0</v>
      </c>
    </row>
    <row r="522" spans="1:6" ht="15" customHeight="1"/>
    <row r="523" spans="1:6" ht="15" customHeight="1">
      <c r="A523" s="418" t="s">
        <v>503</v>
      </c>
    </row>
    <row r="524" spans="1:6" ht="15" customHeight="1">
      <c r="A524" s="419" t="s">
        <v>504</v>
      </c>
      <c r="B524" s="420">
        <f>0.6*0.6</f>
        <v>0.36</v>
      </c>
      <c r="C524" s="421" t="s">
        <v>20</v>
      </c>
    </row>
    <row r="525" spans="1:6" ht="15" customHeight="1">
      <c r="A525" s="312" t="s">
        <v>505</v>
      </c>
      <c r="B525" s="420"/>
      <c r="C525" s="421"/>
    </row>
    <row r="526" spans="1:6" ht="30" customHeight="1">
      <c r="A526" s="422" t="s">
        <v>506</v>
      </c>
      <c r="B526" s="420">
        <v>6</v>
      </c>
      <c r="C526" s="421" t="s">
        <v>17</v>
      </c>
    </row>
    <row r="527" spans="1:6" ht="15" customHeight="1">
      <c r="A527" s="419" t="s">
        <v>507</v>
      </c>
      <c r="B527" s="420">
        <f>B526*0.6</f>
        <v>3.5999999999999996</v>
      </c>
      <c r="C527" s="421" t="s">
        <v>110</v>
      </c>
    </row>
    <row r="528" spans="1:6" ht="15" customHeight="1">
      <c r="A528" s="419" t="s">
        <v>508</v>
      </c>
      <c r="B528" s="420">
        <v>23.7</v>
      </c>
      <c r="C528" s="421" t="s">
        <v>110</v>
      </c>
    </row>
    <row r="529" spans="1:6" ht="15" customHeight="1">
      <c r="A529" s="419" t="s">
        <v>509</v>
      </c>
      <c r="B529" s="420">
        <f>1.14*B528</f>
        <v>27.017999999999997</v>
      </c>
      <c r="C529" s="421" t="s">
        <v>110</v>
      </c>
    </row>
    <row r="530" spans="1:6" ht="15" customHeight="1">
      <c r="A530" s="419" t="s">
        <v>510</v>
      </c>
      <c r="B530" s="420">
        <f>1/B524</f>
        <v>2.7777777777777777</v>
      </c>
      <c r="C530" s="421" t="s">
        <v>17</v>
      </c>
    </row>
    <row r="531" spans="1:6" ht="15" customHeight="1">
      <c r="A531" s="419" t="s">
        <v>511</v>
      </c>
      <c r="B531" s="420">
        <f>1.15*B529/B526</f>
        <v>5.1784499999999989</v>
      </c>
      <c r="C531" s="421" t="s">
        <v>17</v>
      </c>
    </row>
    <row r="532" spans="1:6" ht="15" customHeight="1">
      <c r="A532" s="419" t="s">
        <v>512</v>
      </c>
      <c r="B532" s="420">
        <f>+B531/B530</f>
        <v>1.8642419999999997</v>
      </c>
      <c r="C532" s="421" t="s">
        <v>20</v>
      </c>
    </row>
    <row r="533" spans="1:6" ht="15" customHeight="1">
      <c r="A533" s="419" t="s">
        <v>513</v>
      </c>
      <c r="B533" s="420">
        <f>1/0.6</f>
        <v>1.6666666666666667</v>
      </c>
      <c r="C533" s="421" t="s">
        <v>17</v>
      </c>
    </row>
    <row r="534" spans="1:6" ht="15" customHeight="1">
      <c r="A534" s="304" t="s">
        <v>514</v>
      </c>
      <c r="B534" s="312"/>
    </row>
    <row r="535" spans="1:6" ht="15" customHeight="1">
      <c r="A535" s="312" t="s">
        <v>515</v>
      </c>
      <c r="B535" s="423"/>
    </row>
    <row r="536" spans="1:6" ht="15" customHeight="1">
      <c r="A536" s="312" t="s">
        <v>516</v>
      </c>
      <c r="B536" s="75"/>
    </row>
    <row r="537" spans="1:6" ht="15" customHeight="1">
      <c r="A537" s="312" t="s">
        <v>517</v>
      </c>
      <c r="B537" s="75">
        <f>B535/B530</f>
        <v>0</v>
      </c>
    </row>
    <row r="538" spans="1:6" ht="15" customHeight="1">
      <c r="A538" s="312" t="s">
        <v>518</v>
      </c>
      <c r="B538" s="75">
        <f>B537/B526</f>
        <v>0</v>
      </c>
    </row>
    <row r="539" spans="1:6" ht="15" customHeight="1">
      <c r="A539" s="312" t="s">
        <v>519</v>
      </c>
      <c r="B539" s="75">
        <v>1.67</v>
      </c>
      <c r="C539" s="313" t="s">
        <v>115</v>
      </c>
      <c r="D539" s="424">
        <f>+B538</f>
        <v>0</v>
      </c>
      <c r="E539" s="424">
        <f>+B539*D539</f>
        <v>0</v>
      </c>
    </row>
    <row r="540" spans="1:6" ht="15" customHeight="1">
      <c r="A540" s="312" t="s">
        <v>520</v>
      </c>
      <c r="B540" s="75"/>
      <c r="C540" s="313"/>
      <c r="D540" s="424"/>
      <c r="E540" s="424">
        <f>SUM(E539:E539)</f>
        <v>0</v>
      </c>
    </row>
    <row r="541" spans="1:6" ht="15" customHeight="1">
      <c r="A541" s="312" t="s">
        <v>521</v>
      </c>
      <c r="B541" s="75"/>
      <c r="C541" s="313"/>
      <c r="D541" s="424"/>
      <c r="E541" s="424">
        <f>E540-E542</f>
        <v>0</v>
      </c>
    </row>
    <row r="542" spans="1:6" ht="15" customHeight="1">
      <c r="A542" s="312" t="s">
        <v>522</v>
      </c>
      <c r="B542" s="75"/>
      <c r="C542" s="313"/>
      <c r="D542" s="424"/>
      <c r="E542" s="424">
        <f>E540/1.18</f>
        <v>0</v>
      </c>
    </row>
    <row r="543" spans="1:6" ht="15" customHeight="1" thickBot="1"/>
    <row r="544" spans="1:6" ht="15" customHeight="1" thickBot="1">
      <c r="A544" s="594" t="s">
        <v>121</v>
      </c>
      <c r="B544" s="595"/>
      <c r="C544" s="595"/>
      <c r="D544" s="595"/>
      <c r="E544" s="595"/>
      <c r="F544" s="596"/>
    </row>
    <row r="545" spans="1:6" ht="15" customHeight="1">
      <c r="A545" s="116" t="s">
        <v>29</v>
      </c>
      <c r="B545" s="61" t="s">
        <v>30</v>
      </c>
      <c r="C545" s="62" t="s">
        <v>17</v>
      </c>
      <c r="D545" s="62" t="s">
        <v>31</v>
      </c>
      <c r="E545" s="63" t="s">
        <v>32</v>
      </c>
      <c r="F545" s="64" t="s">
        <v>33</v>
      </c>
    </row>
    <row r="546" spans="1:6" ht="15" customHeight="1">
      <c r="A546" s="117" t="s">
        <v>122</v>
      </c>
      <c r="B546" s="118">
        <v>1.05</v>
      </c>
      <c r="C546" s="118" t="s">
        <v>123</v>
      </c>
      <c r="D546" s="118"/>
      <c r="E546" s="119">
        <f>E542</f>
        <v>0</v>
      </c>
      <c r="F546" s="119">
        <f>+E546*B546</f>
        <v>0</v>
      </c>
    </row>
    <row r="547" spans="1:6" ht="15" customHeight="1">
      <c r="A547" s="117" t="s">
        <v>502</v>
      </c>
      <c r="B547" s="118">
        <v>0.01</v>
      </c>
      <c r="C547" s="118" t="s">
        <v>116</v>
      </c>
      <c r="D547" s="118"/>
      <c r="E547" s="119"/>
      <c r="F547" s="119">
        <f>+E547*B547</f>
        <v>0</v>
      </c>
    </row>
    <row r="548" spans="1:6" ht="15" customHeight="1">
      <c r="A548" s="196" t="s">
        <v>523</v>
      </c>
      <c r="B548" s="425">
        <v>3.7470023980815351E-2</v>
      </c>
      <c r="C548" s="426" t="s">
        <v>131</v>
      </c>
      <c r="D548" s="118"/>
      <c r="E548" s="119"/>
      <c r="F548" s="119">
        <f>+E548*B548</f>
        <v>0</v>
      </c>
    </row>
    <row r="549" spans="1:6" ht="15" customHeight="1">
      <c r="A549" s="117" t="s">
        <v>124</v>
      </c>
      <c r="B549" s="118">
        <v>1</v>
      </c>
      <c r="C549" s="118" t="s">
        <v>123</v>
      </c>
      <c r="D549" s="118"/>
      <c r="E549" s="119"/>
      <c r="F549" s="119">
        <f>+E549*B549</f>
        <v>0</v>
      </c>
    </row>
    <row r="550" spans="1:6" ht="15" customHeight="1">
      <c r="A550" s="117" t="s">
        <v>125</v>
      </c>
      <c r="B550" s="118">
        <v>1</v>
      </c>
      <c r="C550" s="118" t="s">
        <v>17</v>
      </c>
      <c r="D550" s="118"/>
      <c r="E550" s="119"/>
      <c r="F550" s="104">
        <f>B550*E550</f>
        <v>0</v>
      </c>
    </row>
    <row r="551" spans="1:6" ht="15" customHeight="1">
      <c r="A551" s="117"/>
      <c r="B551" s="120"/>
      <c r="C551" s="118"/>
      <c r="D551" s="118"/>
      <c r="E551" s="121" t="s">
        <v>110</v>
      </c>
      <c r="F551" s="122">
        <f>SUM(F546:F550)</f>
        <v>0</v>
      </c>
    </row>
    <row r="552" spans="1:6" ht="15" customHeight="1">
      <c r="E552" s="123" t="s">
        <v>14</v>
      </c>
      <c r="F552" s="124"/>
    </row>
    <row r="553" spans="1:6" ht="15" customHeight="1" thickBot="1"/>
    <row r="554" spans="1:6" ht="15" customHeight="1" thickBot="1">
      <c r="A554" s="588" t="s">
        <v>25</v>
      </c>
      <c r="B554" s="589"/>
      <c r="C554" s="589"/>
      <c r="D554" s="589"/>
      <c r="E554" s="589"/>
      <c r="F554" s="590"/>
    </row>
    <row r="555" spans="1:6" ht="15" customHeight="1">
      <c r="A555" s="89" t="s">
        <v>29</v>
      </c>
      <c r="B555" s="112" t="s">
        <v>30</v>
      </c>
      <c r="C555" s="113" t="s">
        <v>17</v>
      </c>
      <c r="D555" s="113" t="s">
        <v>31</v>
      </c>
      <c r="E555" s="114" t="s">
        <v>32</v>
      </c>
      <c r="F555" s="88" t="s">
        <v>33</v>
      </c>
    </row>
    <row r="556" spans="1:6" ht="15" customHeight="1">
      <c r="A556" s="87" t="s">
        <v>62</v>
      </c>
      <c r="B556" s="86">
        <v>1</v>
      </c>
      <c r="C556" s="85" t="s">
        <v>8</v>
      </c>
      <c r="D556" s="85">
        <v>1</v>
      </c>
      <c r="E556" s="87"/>
      <c r="F556" s="87">
        <f>+(E556*B556)/D556</f>
        <v>0</v>
      </c>
    </row>
    <row r="557" spans="1:6" ht="15" customHeight="1">
      <c r="A557" s="87" t="s">
        <v>45</v>
      </c>
      <c r="B557" s="86">
        <v>1</v>
      </c>
      <c r="C557" s="85" t="s">
        <v>8</v>
      </c>
      <c r="D557" s="85">
        <v>1</v>
      </c>
      <c r="E557" s="87"/>
      <c r="F557" s="87">
        <f>+(E557*B557)/D557</f>
        <v>0</v>
      </c>
    </row>
    <row r="558" spans="1:6" ht="15" customHeight="1">
      <c r="A558" s="87"/>
      <c r="B558" s="84"/>
      <c r="C558" s="84"/>
      <c r="D558" s="84"/>
      <c r="E558" s="83" t="s">
        <v>8</v>
      </c>
      <c r="F558" s="90">
        <f>+SUM(F556:F557)</f>
        <v>0</v>
      </c>
    </row>
    <row r="559" spans="1:6" ht="15" customHeight="1" thickBot="1">
      <c r="A559" s="82"/>
      <c r="B559" s="82"/>
      <c r="C559" s="82"/>
      <c r="D559" s="82"/>
      <c r="E559" s="81" t="s">
        <v>14</v>
      </c>
      <c r="F559" s="80">
        <f>+F557*0.18</f>
        <v>0</v>
      </c>
    </row>
    <row r="560" spans="1:6" ht="15" customHeight="1" thickBot="1">
      <c r="A560" s="588" t="s">
        <v>196</v>
      </c>
      <c r="B560" s="589"/>
      <c r="C560" s="589"/>
      <c r="D560" s="589"/>
      <c r="E560" s="589"/>
      <c r="F560" s="590"/>
    </row>
    <row r="561" spans="1:6" ht="15" customHeight="1">
      <c r="A561" s="89" t="s">
        <v>29</v>
      </c>
      <c r="B561" s="112" t="s">
        <v>30</v>
      </c>
      <c r="C561" s="113" t="s">
        <v>17</v>
      </c>
      <c r="D561" s="113" t="s">
        <v>31</v>
      </c>
      <c r="E561" s="114" t="s">
        <v>32</v>
      </c>
      <c r="F561" s="88" t="s">
        <v>33</v>
      </c>
    </row>
    <row r="562" spans="1:6" ht="15" customHeight="1">
      <c r="A562" s="87" t="s">
        <v>62</v>
      </c>
      <c r="B562" s="86">
        <v>1</v>
      </c>
      <c r="C562" s="85" t="s">
        <v>8</v>
      </c>
      <c r="D562" s="85">
        <v>1</v>
      </c>
      <c r="E562" s="87"/>
      <c r="F562" s="87">
        <f>+(E562*B562)/D562</f>
        <v>0</v>
      </c>
    </row>
    <row r="563" spans="1:6" ht="15" customHeight="1">
      <c r="A563" s="148" t="s">
        <v>197</v>
      </c>
      <c r="B563" s="149">
        <v>1</v>
      </c>
      <c r="C563" s="150" t="s">
        <v>20</v>
      </c>
      <c r="D563" s="150">
        <v>23.74</v>
      </c>
      <c r="E563" s="148"/>
      <c r="F563" s="87">
        <f>+(E563*B563)/D563</f>
        <v>0</v>
      </c>
    </row>
    <row r="564" spans="1:6" ht="15" customHeight="1">
      <c r="A564" s="87" t="s">
        <v>45</v>
      </c>
      <c r="B564" s="86">
        <v>1</v>
      </c>
      <c r="C564" s="85" t="s">
        <v>8</v>
      </c>
      <c r="D564" s="85">
        <v>1</v>
      </c>
      <c r="E564" s="87"/>
      <c r="F564" s="87">
        <f>+(E564*B564)/D564</f>
        <v>0</v>
      </c>
    </row>
    <row r="565" spans="1:6" ht="15" customHeight="1">
      <c r="A565" s="87"/>
      <c r="B565" s="84"/>
      <c r="C565" s="84"/>
      <c r="D565" s="84"/>
      <c r="E565" s="83" t="s">
        <v>8</v>
      </c>
      <c r="F565" s="90">
        <f>+SUM(F562:F564)</f>
        <v>0</v>
      </c>
    </row>
    <row r="566" spans="1:6" ht="15" customHeight="1">
      <c r="A566" s="82"/>
      <c r="B566" s="82"/>
      <c r="C566" s="82"/>
      <c r="D566" s="82"/>
      <c r="E566" s="81" t="s">
        <v>14</v>
      </c>
      <c r="F566" s="80">
        <f>+F564*0.18</f>
        <v>0</v>
      </c>
    </row>
    <row r="567" spans="1:6" ht="15" customHeight="1" thickBot="1"/>
    <row r="568" spans="1:6" ht="15" customHeight="1" thickBot="1">
      <c r="A568" s="588" t="s">
        <v>63</v>
      </c>
      <c r="B568" s="589"/>
      <c r="C568" s="589"/>
      <c r="D568" s="589"/>
      <c r="E568" s="589"/>
      <c r="F568" s="590"/>
    </row>
    <row r="569" spans="1:6" ht="15" customHeight="1">
      <c r="A569" s="89" t="s">
        <v>29</v>
      </c>
      <c r="B569" s="112" t="s">
        <v>30</v>
      </c>
      <c r="C569" s="113" t="s">
        <v>17</v>
      </c>
      <c r="D569" s="113" t="s">
        <v>31</v>
      </c>
      <c r="E569" s="114" t="s">
        <v>32</v>
      </c>
      <c r="F569" s="88" t="s">
        <v>33</v>
      </c>
    </row>
    <row r="570" spans="1:6" ht="15" customHeight="1">
      <c r="A570" s="79" t="s">
        <v>64</v>
      </c>
      <c r="B570" s="86">
        <v>1</v>
      </c>
      <c r="C570" s="85" t="s">
        <v>17</v>
      </c>
      <c r="D570" s="85">
        <v>1</v>
      </c>
      <c r="E570" s="87"/>
      <c r="F570" s="87">
        <f>+(E570*B570)/D570</f>
        <v>0</v>
      </c>
    </row>
    <row r="571" spans="1:6" ht="15" customHeight="1">
      <c r="A571" s="87" t="s">
        <v>45</v>
      </c>
      <c r="B571" s="86">
        <v>1</v>
      </c>
      <c r="C571" s="85" t="s">
        <v>65</v>
      </c>
      <c r="D571" s="85">
        <v>1</v>
      </c>
      <c r="E571" s="87"/>
      <c r="F571" s="87">
        <f>+(E571*B571)/D571</f>
        <v>0</v>
      </c>
    </row>
    <row r="572" spans="1:6" ht="15" customHeight="1">
      <c r="A572" s="87"/>
      <c r="B572" s="84"/>
      <c r="C572" s="84"/>
      <c r="D572" s="84"/>
      <c r="E572" s="83" t="s">
        <v>17</v>
      </c>
      <c r="F572" s="90">
        <f>+SUM(F570:F571)</f>
        <v>0</v>
      </c>
    </row>
    <row r="573" spans="1:6" ht="15" customHeight="1">
      <c r="A573" s="82"/>
      <c r="B573" s="82"/>
      <c r="C573" s="82"/>
      <c r="D573" s="82"/>
      <c r="E573" s="81" t="s">
        <v>14</v>
      </c>
      <c r="F573" s="80">
        <f>+F571*0.18</f>
        <v>0</v>
      </c>
    </row>
    <row r="574" spans="1:6" ht="15" customHeight="1">
      <c r="A574" s="82" t="s">
        <v>427</v>
      </c>
      <c r="B574" s="82">
        <f>10061*1.18</f>
        <v>11871.98</v>
      </c>
      <c r="C574" s="82"/>
      <c r="D574" s="82"/>
      <c r="E574" s="326"/>
      <c r="F574" s="327"/>
    </row>
    <row r="575" spans="1:6" ht="15" customHeight="1">
      <c r="A575" t="s">
        <v>428</v>
      </c>
      <c r="B575" s="95">
        <f>B574/5</f>
        <v>2374.3959999999997</v>
      </c>
    </row>
    <row r="576" spans="1:6" ht="15" customHeight="1" thickBot="1">
      <c r="B576" s="95"/>
    </row>
    <row r="577" spans="1:6" ht="15" customHeight="1" thickBot="1">
      <c r="A577" s="580" t="s">
        <v>431</v>
      </c>
      <c r="B577" s="581"/>
      <c r="C577" s="581"/>
      <c r="D577" s="581"/>
      <c r="E577" s="581"/>
      <c r="F577" s="582"/>
    </row>
    <row r="578" spans="1:6" ht="15" customHeight="1">
      <c r="A578" s="78" t="s">
        <v>29</v>
      </c>
      <c r="B578" s="97" t="s">
        <v>30</v>
      </c>
      <c r="C578" s="98" t="s">
        <v>17</v>
      </c>
      <c r="D578" s="98" t="s">
        <v>31</v>
      </c>
      <c r="E578" s="99" t="s">
        <v>32</v>
      </c>
      <c r="F578" s="77" t="s">
        <v>33</v>
      </c>
    </row>
    <row r="579" spans="1:6" ht="15" customHeight="1">
      <c r="A579" s="87" t="s">
        <v>432</v>
      </c>
      <c r="B579" s="86">
        <v>1</v>
      </c>
      <c r="C579" s="85" t="s">
        <v>8</v>
      </c>
      <c r="D579" s="85"/>
      <c r="E579" s="87"/>
      <c r="F579" s="87">
        <f>B579*E579</f>
        <v>0</v>
      </c>
    </row>
    <row r="580" spans="1:6" ht="15" customHeight="1">
      <c r="A580" s="79" t="s">
        <v>433</v>
      </c>
      <c r="B580" s="328">
        <v>1</v>
      </c>
      <c r="C580" s="85" t="s">
        <v>8</v>
      </c>
      <c r="D580" s="85"/>
      <c r="E580" s="87"/>
      <c r="F580" s="87">
        <f>B580*E580</f>
        <v>0</v>
      </c>
    </row>
    <row r="581" spans="1:6" ht="15" customHeight="1">
      <c r="A581" s="87"/>
      <c r="B581" s="84"/>
      <c r="C581" s="84"/>
      <c r="D581" s="84"/>
      <c r="E581" s="83" t="s">
        <v>67</v>
      </c>
      <c r="F581" s="90">
        <f>SUM(F579:F580)</f>
        <v>0</v>
      </c>
    </row>
    <row r="582" spans="1:6" ht="15" customHeight="1">
      <c r="A582" s="87"/>
      <c r="B582" s="84"/>
      <c r="C582" s="84"/>
      <c r="D582" s="84"/>
      <c r="E582" s="83" t="s">
        <v>14</v>
      </c>
      <c r="F582" s="76"/>
    </row>
    <row r="583" spans="1:6" ht="15" customHeight="1">
      <c r="B583" s="95"/>
    </row>
    <row r="584" spans="1:6" ht="15" customHeight="1" thickBot="1">
      <c r="B584" s="95"/>
    </row>
    <row r="585" spans="1:6" ht="15" customHeight="1" thickBot="1">
      <c r="A585" s="580" t="s">
        <v>140</v>
      </c>
      <c r="B585" s="581"/>
      <c r="C585" s="581"/>
      <c r="D585" s="581"/>
      <c r="E585" s="581"/>
      <c r="F585" s="582"/>
    </row>
    <row r="586" spans="1:6" ht="15" customHeight="1">
      <c r="A586" s="78" t="s">
        <v>29</v>
      </c>
      <c r="B586" s="97" t="s">
        <v>30</v>
      </c>
      <c r="C586" s="98" t="s">
        <v>17</v>
      </c>
      <c r="D586" s="98" t="s">
        <v>31</v>
      </c>
      <c r="E586" s="99" t="s">
        <v>32</v>
      </c>
      <c r="F586" s="77" t="s">
        <v>33</v>
      </c>
    </row>
    <row r="587" spans="1:6" ht="15" customHeight="1">
      <c r="A587" s="87" t="s">
        <v>141</v>
      </c>
      <c r="B587" s="86">
        <v>0.1</v>
      </c>
      <c r="C587" s="85" t="s">
        <v>66</v>
      </c>
      <c r="D587" s="85"/>
      <c r="E587" s="87"/>
      <c r="F587" s="87">
        <f>B587*E587</f>
        <v>0</v>
      </c>
    </row>
    <row r="588" spans="1:6" ht="15" customHeight="1">
      <c r="A588" s="79" t="s">
        <v>430</v>
      </c>
      <c r="B588" s="328">
        <v>0.1</v>
      </c>
      <c r="C588" s="85" t="s">
        <v>48</v>
      </c>
      <c r="D588" s="85"/>
      <c r="E588" s="87"/>
      <c r="F588" s="87">
        <f>B588*F587</f>
        <v>0</v>
      </c>
    </row>
    <row r="589" spans="1:6" ht="15" customHeight="1">
      <c r="A589" s="79" t="s">
        <v>429</v>
      </c>
      <c r="B589" s="86">
        <v>1</v>
      </c>
      <c r="C589" s="85" t="s">
        <v>8</v>
      </c>
      <c r="D589" s="85"/>
      <c r="E589" s="87"/>
      <c r="F589" s="87">
        <f>B589*E589</f>
        <v>0</v>
      </c>
    </row>
    <row r="590" spans="1:6" ht="15" customHeight="1">
      <c r="A590" s="87"/>
      <c r="B590" s="84"/>
      <c r="C590" s="84"/>
      <c r="D590" s="84"/>
      <c r="E590" s="83" t="s">
        <v>67</v>
      </c>
      <c r="F590" s="90">
        <f>SUM(F587:F589)</f>
        <v>0</v>
      </c>
    </row>
    <row r="591" spans="1:6" ht="15" customHeight="1">
      <c r="A591" s="87"/>
      <c r="B591" s="84"/>
      <c r="C591" s="84"/>
      <c r="D591" s="84"/>
      <c r="E591" s="83" t="s">
        <v>14</v>
      </c>
      <c r="F591" s="76"/>
    </row>
    <row r="592" spans="1:6" ht="15" customHeight="1" thickBot="1">
      <c r="A592" s="400"/>
      <c r="B592" s="401"/>
      <c r="C592" s="401"/>
      <c r="D592" s="401"/>
      <c r="E592" s="402"/>
      <c r="F592" s="403"/>
    </row>
    <row r="593" spans="1:7" ht="15" customHeight="1">
      <c r="A593" s="404" t="s">
        <v>104</v>
      </c>
      <c r="B593" s="405" t="s">
        <v>4</v>
      </c>
      <c r="C593" s="405" t="s">
        <v>17</v>
      </c>
      <c r="D593" s="406"/>
      <c r="E593" s="407" t="s">
        <v>459</v>
      </c>
      <c r="F593" s="407" t="s">
        <v>344</v>
      </c>
    </row>
    <row r="594" spans="1:7" ht="15" customHeight="1">
      <c r="A594" s="408" t="s">
        <v>485</v>
      </c>
      <c r="B594" s="409">
        <v>1.5</v>
      </c>
      <c r="C594" s="410" t="s">
        <v>17</v>
      </c>
      <c r="D594" s="411"/>
      <c r="E594" s="412">
        <f>+D594*0.18</f>
        <v>0</v>
      </c>
      <c r="F594" s="412">
        <f t="shared" ref="F594:F601" si="28">ROUND(B594*(D594+E594),2)</f>
        <v>0</v>
      </c>
    </row>
    <row r="595" spans="1:7" ht="15" customHeight="1">
      <c r="A595" s="408" t="s">
        <v>486</v>
      </c>
      <c r="B595" s="412">
        <v>1</v>
      </c>
      <c r="C595" s="410" t="s">
        <v>17</v>
      </c>
      <c r="D595" s="411"/>
      <c r="E595" s="412">
        <f t="shared" ref="E595:E601" si="29">+D595*0.18</f>
        <v>0</v>
      </c>
      <c r="F595" s="412">
        <f t="shared" si="28"/>
        <v>0</v>
      </c>
      <c r="G595" s="95"/>
    </row>
    <row r="596" spans="1:7" ht="15" customHeight="1">
      <c r="A596" s="408" t="s">
        <v>487</v>
      </c>
      <c r="B596" s="412">
        <v>30</v>
      </c>
      <c r="C596" s="410" t="s">
        <v>488</v>
      </c>
      <c r="D596" s="411"/>
      <c r="E596" s="412">
        <f t="shared" si="29"/>
        <v>0</v>
      </c>
      <c r="F596" s="412">
        <f t="shared" si="28"/>
        <v>0</v>
      </c>
    </row>
    <row r="597" spans="1:7" ht="15" customHeight="1">
      <c r="A597" s="408" t="s">
        <v>489</v>
      </c>
      <c r="B597" s="412">
        <v>1</v>
      </c>
      <c r="C597" s="410" t="s">
        <v>17</v>
      </c>
      <c r="D597" s="411"/>
      <c r="E597" s="412">
        <f t="shared" si="29"/>
        <v>0</v>
      </c>
      <c r="F597" s="412">
        <f t="shared" si="28"/>
        <v>0</v>
      </c>
    </row>
    <row r="598" spans="1:7" ht="15" customHeight="1">
      <c r="A598" s="408" t="s">
        <v>490</v>
      </c>
      <c r="B598" s="412">
        <v>2</v>
      </c>
      <c r="C598" s="410" t="s">
        <v>17</v>
      </c>
      <c r="D598" s="411"/>
      <c r="E598" s="412">
        <f t="shared" si="29"/>
        <v>0</v>
      </c>
      <c r="F598" s="412">
        <f t="shared" si="28"/>
        <v>0</v>
      </c>
    </row>
    <row r="599" spans="1:7" ht="15" customHeight="1">
      <c r="A599" s="408" t="s">
        <v>491</v>
      </c>
      <c r="B599" s="409">
        <v>3</v>
      </c>
      <c r="C599" s="410" t="s">
        <v>17</v>
      </c>
      <c r="D599" s="411"/>
      <c r="E599" s="412">
        <f t="shared" si="29"/>
        <v>0</v>
      </c>
      <c r="F599" s="412">
        <f t="shared" si="28"/>
        <v>0</v>
      </c>
    </row>
    <row r="600" spans="1:7" ht="15" customHeight="1">
      <c r="A600" s="408" t="s">
        <v>498</v>
      </c>
      <c r="B600" s="412">
        <v>1</v>
      </c>
      <c r="C600" s="410" t="s">
        <v>17</v>
      </c>
      <c r="D600" s="411"/>
      <c r="E600" s="412">
        <f t="shared" si="29"/>
        <v>0</v>
      </c>
      <c r="F600" s="412">
        <f t="shared" si="28"/>
        <v>0</v>
      </c>
    </row>
    <row r="601" spans="1:7" ht="15" customHeight="1">
      <c r="A601" s="408" t="s">
        <v>184</v>
      </c>
      <c r="B601" s="409">
        <v>0.04</v>
      </c>
      <c r="C601" s="410" t="s">
        <v>17</v>
      </c>
      <c r="D601" s="411"/>
      <c r="E601" s="412">
        <f t="shared" si="29"/>
        <v>0</v>
      </c>
      <c r="F601" s="412">
        <f t="shared" si="28"/>
        <v>0</v>
      </c>
    </row>
    <row r="602" spans="1:7" ht="15" customHeight="1">
      <c r="A602" s="408" t="s">
        <v>186</v>
      </c>
      <c r="B602" s="412">
        <v>1</v>
      </c>
      <c r="C602" s="410" t="s">
        <v>56</v>
      </c>
      <c r="D602" s="411"/>
      <c r="E602" s="412">
        <v>0</v>
      </c>
      <c r="F602" s="412">
        <f>ROUND(B602*(D602+E602),2)</f>
        <v>0</v>
      </c>
    </row>
    <row r="603" spans="1:7" ht="15" customHeight="1">
      <c r="A603" s="413"/>
      <c r="B603" s="414"/>
      <c r="C603" s="414"/>
      <c r="D603" s="415"/>
      <c r="E603" s="416"/>
      <c r="F603" s="417">
        <f>ROUND(SUM(F594:F602),2)</f>
        <v>0</v>
      </c>
    </row>
    <row r="604" spans="1:7" ht="15" customHeight="1" thickBot="1">
      <c r="A604" s="400"/>
      <c r="B604" s="401"/>
      <c r="C604" s="401"/>
      <c r="D604" s="401"/>
      <c r="E604" s="402"/>
      <c r="F604" s="403"/>
    </row>
    <row r="605" spans="1:7" ht="15" customHeight="1">
      <c r="A605" s="404" t="s">
        <v>105</v>
      </c>
      <c r="B605" s="405" t="s">
        <v>4</v>
      </c>
      <c r="C605" s="405" t="s">
        <v>17</v>
      </c>
      <c r="D605" s="406"/>
      <c r="E605" s="407" t="s">
        <v>459</v>
      </c>
      <c r="F605" s="407" t="s">
        <v>344</v>
      </c>
    </row>
    <row r="606" spans="1:7" ht="15" customHeight="1">
      <c r="A606" s="408" t="s">
        <v>485</v>
      </c>
      <c r="B606" s="409">
        <v>1.5</v>
      </c>
      <c r="C606" s="410" t="s">
        <v>17</v>
      </c>
      <c r="D606" s="411"/>
      <c r="E606" s="412">
        <f>+D606*0.18</f>
        <v>0</v>
      </c>
      <c r="F606" s="412">
        <f t="shared" ref="F606:F614" si="30">ROUND(B606*(D606+E606),2)</f>
        <v>0</v>
      </c>
    </row>
    <row r="607" spans="1:7" ht="15" customHeight="1">
      <c r="A607" s="408" t="s">
        <v>486</v>
      </c>
      <c r="B607" s="412">
        <v>1</v>
      </c>
      <c r="C607" s="410" t="s">
        <v>17</v>
      </c>
      <c r="D607" s="411"/>
      <c r="E607" s="412">
        <f t="shared" ref="E607:E613" si="31">+D607*0.18</f>
        <v>0</v>
      </c>
      <c r="F607" s="412">
        <f t="shared" si="30"/>
        <v>0</v>
      </c>
    </row>
    <row r="608" spans="1:7" ht="15" customHeight="1">
      <c r="A608" s="408" t="s">
        <v>487</v>
      </c>
      <c r="B608" s="412">
        <v>40</v>
      </c>
      <c r="C608" s="410" t="s">
        <v>488</v>
      </c>
      <c r="D608" s="411"/>
      <c r="E608" s="412">
        <f t="shared" si="31"/>
        <v>0</v>
      </c>
      <c r="F608" s="412">
        <f t="shared" si="30"/>
        <v>0</v>
      </c>
    </row>
    <row r="609" spans="1:6" ht="15" customHeight="1">
      <c r="A609" s="408" t="s">
        <v>489</v>
      </c>
      <c r="B609" s="412">
        <v>1</v>
      </c>
      <c r="C609" s="410" t="s">
        <v>17</v>
      </c>
      <c r="D609" s="411"/>
      <c r="E609" s="412">
        <f t="shared" si="31"/>
        <v>0</v>
      </c>
      <c r="F609" s="412">
        <f t="shared" si="30"/>
        <v>0</v>
      </c>
    </row>
    <row r="610" spans="1:6" ht="15" customHeight="1">
      <c r="A610" s="408" t="s">
        <v>490</v>
      </c>
      <c r="B610" s="412">
        <v>2</v>
      </c>
      <c r="C610" s="410" t="s">
        <v>17</v>
      </c>
      <c r="D610" s="411"/>
      <c r="E610" s="412">
        <f t="shared" si="31"/>
        <v>0</v>
      </c>
      <c r="F610" s="412">
        <f t="shared" si="30"/>
        <v>0</v>
      </c>
    </row>
    <row r="611" spans="1:6" ht="15" customHeight="1">
      <c r="A611" s="408" t="s">
        <v>491</v>
      </c>
      <c r="B611" s="409">
        <v>3</v>
      </c>
      <c r="C611" s="410" t="s">
        <v>17</v>
      </c>
      <c r="D611" s="411"/>
      <c r="E611" s="412">
        <f t="shared" si="31"/>
        <v>0</v>
      </c>
      <c r="F611" s="412">
        <f t="shared" si="30"/>
        <v>0</v>
      </c>
    </row>
    <row r="612" spans="1:6" ht="15" customHeight="1">
      <c r="A612" s="408" t="s">
        <v>499</v>
      </c>
      <c r="B612" s="412">
        <v>1</v>
      </c>
      <c r="C612" s="410" t="s">
        <v>17</v>
      </c>
      <c r="D612" s="411"/>
      <c r="E612" s="412">
        <f t="shared" si="31"/>
        <v>0</v>
      </c>
      <c r="F612" s="412">
        <f t="shared" si="30"/>
        <v>0</v>
      </c>
    </row>
    <row r="613" spans="1:6" ht="15" customHeight="1">
      <c r="A613" s="408" t="s">
        <v>184</v>
      </c>
      <c r="B613" s="409">
        <v>0.04</v>
      </c>
      <c r="C613" s="410" t="s">
        <v>17</v>
      </c>
      <c r="D613" s="411"/>
      <c r="E613" s="412">
        <f t="shared" si="31"/>
        <v>0</v>
      </c>
      <c r="F613" s="412">
        <f t="shared" si="30"/>
        <v>0</v>
      </c>
    </row>
    <row r="614" spans="1:6" ht="15" customHeight="1">
      <c r="A614" s="408" t="s">
        <v>186</v>
      </c>
      <c r="B614" s="412">
        <v>1</v>
      </c>
      <c r="C614" s="410" t="s">
        <v>56</v>
      </c>
      <c r="D614" s="411"/>
      <c r="E614" s="412">
        <v>0</v>
      </c>
      <c r="F614" s="412">
        <f t="shared" si="30"/>
        <v>0</v>
      </c>
    </row>
    <row r="615" spans="1:6" ht="15" customHeight="1">
      <c r="A615" s="413"/>
      <c r="B615" s="414"/>
      <c r="C615" s="414"/>
      <c r="D615" s="415"/>
      <c r="E615" s="416"/>
      <c r="F615" s="417">
        <f>ROUND(SUM(F606:F614),2)</f>
        <v>0</v>
      </c>
    </row>
    <row r="616" spans="1:6" ht="15" customHeight="1" thickBot="1">
      <c r="A616" s="400"/>
      <c r="B616" s="401"/>
      <c r="C616" s="401"/>
      <c r="D616" s="401"/>
      <c r="E616" s="402"/>
      <c r="F616" s="403"/>
    </row>
    <row r="617" spans="1:6" ht="15" customHeight="1">
      <c r="A617" s="404" t="s">
        <v>492</v>
      </c>
      <c r="B617" s="405" t="s">
        <v>4</v>
      </c>
      <c r="C617" s="405" t="s">
        <v>17</v>
      </c>
      <c r="D617" s="406"/>
      <c r="E617" s="407" t="s">
        <v>459</v>
      </c>
      <c r="F617" s="407" t="s">
        <v>344</v>
      </c>
    </row>
    <row r="618" spans="1:6" ht="15" customHeight="1">
      <c r="A618" s="408" t="s">
        <v>485</v>
      </c>
      <c r="B618" s="409">
        <v>1</v>
      </c>
      <c r="C618" s="410" t="s">
        <v>17</v>
      </c>
      <c r="D618" s="411"/>
      <c r="E618" s="412">
        <f>+D618*0.18</f>
        <v>0</v>
      </c>
      <c r="F618" s="412">
        <f t="shared" ref="F618:F626" si="32">ROUND(B618*(D618+E618),2)</f>
        <v>0</v>
      </c>
    </row>
    <row r="619" spans="1:6" ht="15" customHeight="1">
      <c r="A619" s="408" t="s">
        <v>486</v>
      </c>
      <c r="B619" s="412">
        <v>1</v>
      </c>
      <c r="C619" s="410" t="s">
        <v>17</v>
      </c>
      <c r="D619" s="411"/>
      <c r="E619" s="412">
        <f t="shared" ref="E619:E625" si="33">+D619*0.18</f>
        <v>0</v>
      </c>
      <c r="F619" s="412">
        <f t="shared" si="32"/>
        <v>0</v>
      </c>
    </row>
    <row r="620" spans="1:6" ht="15" customHeight="1">
      <c r="A620" s="408" t="s">
        <v>487</v>
      </c>
      <c r="B620" s="412">
        <v>31</v>
      </c>
      <c r="C620" s="410" t="s">
        <v>488</v>
      </c>
      <c r="D620" s="411"/>
      <c r="E620" s="412">
        <f t="shared" si="33"/>
        <v>0</v>
      </c>
      <c r="F620" s="412">
        <f t="shared" si="32"/>
        <v>0</v>
      </c>
    </row>
    <row r="621" spans="1:6" ht="15" customHeight="1">
      <c r="A621" s="408" t="s">
        <v>489</v>
      </c>
      <c r="B621" s="412">
        <v>1</v>
      </c>
      <c r="C621" s="410" t="s">
        <v>17</v>
      </c>
      <c r="D621" s="411"/>
      <c r="E621" s="412">
        <f t="shared" si="33"/>
        <v>0</v>
      </c>
      <c r="F621" s="412">
        <f t="shared" si="32"/>
        <v>0</v>
      </c>
    </row>
    <row r="622" spans="1:6" ht="15" customHeight="1">
      <c r="A622" s="408" t="s">
        <v>490</v>
      </c>
      <c r="B622" s="412">
        <v>2</v>
      </c>
      <c r="C622" s="410" t="s">
        <v>17</v>
      </c>
      <c r="D622" s="411"/>
      <c r="E622" s="412">
        <f t="shared" si="33"/>
        <v>0</v>
      </c>
      <c r="F622" s="412">
        <f t="shared" si="32"/>
        <v>0</v>
      </c>
    </row>
    <row r="623" spans="1:6" ht="15" customHeight="1">
      <c r="A623" s="408" t="s">
        <v>491</v>
      </c>
      <c r="B623" s="409">
        <v>3</v>
      </c>
      <c r="C623" s="410" t="s">
        <v>17</v>
      </c>
      <c r="D623" s="411"/>
      <c r="E623" s="412">
        <f t="shared" si="33"/>
        <v>0</v>
      </c>
      <c r="F623" s="412">
        <f t="shared" si="32"/>
        <v>0</v>
      </c>
    </row>
    <row r="624" spans="1:6" ht="15" customHeight="1">
      <c r="A624" s="408" t="s">
        <v>493</v>
      </c>
      <c r="B624" s="412">
        <v>1</v>
      </c>
      <c r="C624" s="410" t="s">
        <v>17</v>
      </c>
      <c r="D624" s="411"/>
      <c r="E624" s="412">
        <f t="shared" si="33"/>
        <v>0</v>
      </c>
      <c r="F624" s="412">
        <f t="shared" si="32"/>
        <v>0</v>
      </c>
    </row>
    <row r="625" spans="1:6" ht="15" customHeight="1">
      <c r="A625" s="408" t="s">
        <v>184</v>
      </c>
      <c r="B625" s="409">
        <v>0.04</v>
      </c>
      <c r="C625" s="410" t="s">
        <v>17</v>
      </c>
      <c r="D625" s="411"/>
      <c r="E625" s="412">
        <f t="shared" si="33"/>
        <v>0</v>
      </c>
      <c r="F625" s="412">
        <f t="shared" si="32"/>
        <v>0</v>
      </c>
    </row>
    <row r="626" spans="1:6" ht="15" customHeight="1">
      <c r="A626" s="408" t="s">
        <v>186</v>
      </c>
      <c r="B626" s="412">
        <v>1</v>
      </c>
      <c r="C626" s="410" t="s">
        <v>56</v>
      </c>
      <c r="D626" s="411"/>
      <c r="E626" s="412">
        <v>0</v>
      </c>
      <c r="F626" s="412">
        <f t="shared" si="32"/>
        <v>0</v>
      </c>
    </row>
    <row r="627" spans="1:6" ht="15" customHeight="1">
      <c r="A627" s="413"/>
      <c r="B627" s="414"/>
      <c r="C627" s="414"/>
      <c r="D627" s="415"/>
      <c r="E627" s="416"/>
      <c r="F627" s="417">
        <f>ROUND(SUM(F617:F626),2)</f>
        <v>0</v>
      </c>
    </row>
    <row r="628" spans="1:6" ht="15" customHeight="1" thickBot="1">
      <c r="A628" s="400"/>
      <c r="B628" s="401"/>
      <c r="C628" s="401"/>
      <c r="D628" s="401"/>
      <c r="E628" s="402"/>
      <c r="F628" s="403"/>
    </row>
    <row r="629" spans="1:6" ht="15" customHeight="1">
      <c r="A629" s="404" t="s">
        <v>494</v>
      </c>
      <c r="B629" s="405" t="s">
        <v>4</v>
      </c>
      <c r="C629" s="405" t="s">
        <v>17</v>
      </c>
      <c r="D629" s="405" t="s">
        <v>297</v>
      </c>
      <c r="E629" s="407" t="s">
        <v>459</v>
      </c>
      <c r="F629" s="407" t="s">
        <v>344</v>
      </c>
    </row>
    <row r="630" spans="1:6" ht="15" customHeight="1">
      <c r="A630" s="408" t="s">
        <v>485</v>
      </c>
      <c r="B630" s="409">
        <v>1</v>
      </c>
      <c r="C630" s="410" t="s">
        <v>17</v>
      </c>
      <c r="D630" s="411"/>
      <c r="E630" s="412">
        <f>+D630*0.18</f>
        <v>0</v>
      </c>
      <c r="F630" s="412">
        <f t="shared" ref="F630:F641" si="34">ROUND(B630*(D630+E630),2)</f>
        <v>0</v>
      </c>
    </row>
    <row r="631" spans="1:6" ht="15" customHeight="1">
      <c r="A631" s="408" t="s">
        <v>486</v>
      </c>
      <c r="B631" s="412">
        <v>1</v>
      </c>
      <c r="C631" s="410" t="s">
        <v>17</v>
      </c>
      <c r="D631" s="411"/>
      <c r="E631" s="412">
        <f t="shared" ref="E631:E640" si="35">+D631*0.18</f>
        <v>0</v>
      </c>
      <c r="F631" s="412">
        <f t="shared" si="34"/>
        <v>0</v>
      </c>
    </row>
    <row r="632" spans="1:6" ht="15" customHeight="1">
      <c r="A632" s="408" t="s">
        <v>487</v>
      </c>
      <c r="B632" s="412">
        <v>20</v>
      </c>
      <c r="C632" s="410" t="s">
        <v>488</v>
      </c>
      <c r="D632" s="411"/>
      <c r="E632" s="412">
        <f t="shared" si="35"/>
        <v>0</v>
      </c>
      <c r="F632" s="412">
        <f t="shared" si="34"/>
        <v>0</v>
      </c>
    </row>
    <row r="633" spans="1:6" ht="15" customHeight="1">
      <c r="A633" s="408" t="s">
        <v>489</v>
      </c>
      <c r="B633" s="412">
        <v>1</v>
      </c>
      <c r="C633" s="410" t="s">
        <v>17</v>
      </c>
      <c r="D633" s="411"/>
      <c r="E633" s="412">
        <f t="shared" si="35"/>
        <v>0</v>
      </c>
      <c r="F633" s="412">
        <f t="shared" si="34"/>
        <v>0</v>
      </c>
    </row>
    <row r="634" spans="1:6" ht="15" customHeight="1">
      <c r="A634" s="408" t="s">
        <v>490</v>
      </c>
      <c r="B634" s="412">
        <v>2</v>
      </c>
      <c r="C634" s="410" t="s">
        <v>17</v>
      </c>
      <c r="D634" s="411"/>
      <c r="E634" s="412">
        <f t="shared" si="35"/>
        <v>0</v>
      </c>
      <c r="F634" s="412">
        <f t="shared" si="34"/>
        <v>0</v>
      </c>
    </row>
    <row r="635" spans="1:6" ht="15" customHeight="1">
      <c r="A635" s="408" t="s">
        <v>495</v>
      </c>
      <c r="B635" s="409">
        <v>5</v>
      </c>
      <c r="C635" s="410" t="s">
        <v>17</v>
      </c>
      <c r="D635" s="411"/>
      <c r="E635" s="412">
        <f t="shared" si="35"/>
        <v>0</v>
      </c>
      <c r="F635" s="412">
        <f t="shared" si="34"/>
        <v>0</v>
      </c>
    </row>
    <row r="636" spans="1:6" ht="15" customHeight="1">
      <c r="A636" s="408" t="s">
        <v>491</v>
      </c>
      <c r="B636" s="409">
        <v>3</v>
      </c>
      <c r="C636" s="410" t="s">
        <v>17</v>
      </c>
      <c r="D636" s="411"/>
      <c r="E636" s="412">
        <f t="shared" si="35"/>
        <v>0</v>
      </c>
      <c r="F636" s="412">
        <f t="shared" si="34"/>
        <v>0</v>
      </c>
    </row>
    <row r="637" spans="1:6" ht="15" customHeight="1">
      <c r="A637" s="408" t="s">
        <v>496</v>
      </c>
      <c r="B637" s="409">
        <v>1</v>
      </c>
      <c r="C637" s="410" t="s">
        <v>17</v>
      </c>
      <c r="D637" s="411"/>
      <c r="E637" s="412">
        <f t="shared" si="35"/>
        <v>0</v>
      </c>
      <c r="F637" s="412">
        <f t="shared" si="34"/>
        <v>0</v>
      </c>
    </row>
    <row r="638" spans="1:6" ht="15" customHeight="1">
      <c r="A638" s="408" t="s">
        <v>497</v>
      </c>
      <c r="B638" s="409">
        <v>1</v>
      </c>
      <c r="C638" s="410" t="s">
        <v>17</v>
      </c>
      <c r="D638" s="411"/>
      <c r="E638" s="412">
        <f t="shared" si="35"/>
        <v>0</v>
      </c>
      <c r="F638" s="412">
        <f t="shared" si="34"/>
        <v>0</v>
      </c>
    </row>
    <row r="639" spans="1:6" ht="15" customHeight="1">
      <c r="A639" s="408" t="s">
        <v>184</v>
      </c>
      <c r="B639" s="409">
        <v>0.04</v>
      </c>
      <c r="C639" s="410" t="s">
        <v>17</v>
      </c>
      <c r="D639" s="411"/>
      <c r="E639" s="412">
        <f t="shared" si="35"/>
        <v>0</v>
      </c>
      <c r="F639" s="412">
        <f t="shared" si="34"/>
        <v>0</v>
      </c>
    </row>
    <row r="640" spans="1:6" ht="15" customHeight="1">
      <c r="A640" s="408" t="s">
        <v>185</v>
      </c>
      <c r="B640" s="409">
        <v>1</v>
      </c>
      <c r="C640" s="410" t="s">
        <v>17</v>
      </c>
      <c r="D640" s="411"/>
      <c r="E640" s="412">
        <f t="shared" si="35"/>
        <v>0</v>
      </c>
      <c r="F640" s="412">
        <f t="shared" si="34"/>
        <v>0</v>
      </c>
    </row>
    <row r="641" spans="1:6" ht="15" customHeight="1">
      <c r="A641" s="408" t="s">
        <v>186</v>
      </c>
      <c r="B641" s="412">
        <v>1</v>
      </c>
      <c r="C641" s="410" t="s">
        <v>56</v>
      </c>
      <c r="D641" s="411"/>
      <c r="E641" s="412">
        <v>0</v>
      </c>
      <c r="F641" s="412">
        <f t="shared" si="34"/>
        <v>0</v>
      </c>
    </row>
    <row r="642" spans="1:6" ht="15" customHeight="1">
      <c r="A642" s="413"/>
      <c r="B642" s="414"/>
      <c r="C642" s="414"/>
      <c r="D642" s="415"/>
      <c r="E642" s="416"/>
      <c r="F642" s="417">
        <f>ROUND(SUM(F629:F641),2)</f>
        <v>0</v>
      </c>
    </row>
    <row r="643" spans="1:6" ht="15" customHeight="1" thickBot="1">
      <c r="A643" s="400"/>
      <c r="B643" s="401"/>
      <c r="C643" s="401"/>
      <c r="D643" s="401"/>
      <c r="E643" s="402"/>
      <c r="F643" s="403"/>
    </row>
    <row r="644" spans="1:6" ht="15" customHeight="1">
      <c r="A644" s="404" t="s">
        <v>700</v>
      </c>
      <c r="B644" s="405" t="s">
        <v>4</v>
      </c>
      <c r="C644" s="405" t="s">
        <v>17</v>
      </c>
      <c r="D644" s="406"/>
      <c r="E644" s="407" t="s">
        <v>459</v>
      </c>
      <c r="F644" s="407" t="s">
        <v>344</v>
      </c>
    </row>
    <row r="645" spans="1:6" ht="15" customHeight="1">
      <c r="A645" s="408" t="s">
        <v>485</v>
      </c>
      <c r="B645" s="409">
        <v>1.5</v>
      </c>
      <c r="C645" s="410" t="s">
        <v>17</v>
      </c>
      <c r="D645" s="411"/>
      <c r="E645" s="412">
        <f>+D645*0.18</f>
        <v>0</v>
      </c>
      <c r="F645" s="412">
        <f t="shared" ref="F645:F653" si="36">ROUND(B645*(D645+E645),2)</f>
        <v>0</v>
      </c>
    </row>
    <row r="646" spans="1:6" ht="15" customHeight="1">
      <c r="A646" s="408" t="s">
        <v>486</v>
      </c>
      <c r="B646" s="412">
        <v>1</v>
      </c>
      <c r="C646" s="410" t="s">
        <v>17</v>
      </c>
      <c r="D646" s="411"/>
      <c r="E646" s="412">
        <f t="shared" ref="E646:E652" si="37">+D646*0.18</f>
        <v>0</v>
      </c>
      <c r="F646" s="412">
        <f t="shared" si="36"/>
        <v>0</v>
      </c>
    </row>
    <row r="647" spans="1:6" ht="15" customHeight="1">
      <c r="A647" s="408" t="s">
        <v>487</v>
      </c>
      <c r="B647" s="412">
        <v>60</v>
      </c>
      <c r="C647" s="410" t="s">
        <v>488</v>
      </c>
      <c r="D647" s="411"/>
      <c r="E647" s="412">
        <f t="shared" si="37"/>
        <v>0</v>
      </c>
      <c r="F647" s="412">
        <f t="shared" si="36"/>
        <v>0</v>
      </c>
    </row>
    <row r="648" spans="1:6" ht="15" customHeight="1">
      <c r="A648" s="408" t="s">
        <v>489</v>
      </c>
      <c r="B648" s="412">
        <v>1</v>
      </c>
      <c r="C648" s="410" t="s">
        <v>17</v>
      </c>
      <c r="D648" s="411"/>
      <c r="E648" s="412">
        <f t="shared" si="37"/>
        <v>0</v>
      </c>
      <c r="F648" s="412">
        <f t="shared" si="36"/>
        <v>0</v>
      </c>
    </row>
    <row r="649" spans="1:6" ht="15" customHeight="1">
      <c r="A649" s="408" t="s">
        <v>490</v>
      </c>
      <c r="B649" s="412">
        <v>2</v>
      </c>
      <c r="C649" s="410" t="s">
        <v>17</v>
      </c>
      <c r="D649" s="411"/>
      <c r="E649" s="412">
        <f t="shared" si="37"/>
        <v>0</v>
      </c>
      <c r="F649" s="412">
        <f t="shared" si="36"/>
        <v>0</v>
      </c>
    </row>
    <row r="650" spans="1:6" ht="15" customHeight="1">
      <c r="A650" s="408" t="s">
        <v>491</v>
      </c>
      <c r="B650" s="409">
        <v>3</v>
      </c>
      <c r="C650" s="410" t="s">
        <v>17</v>
      </c>
      <c r="D650" s="411"/>
      <c r="E650" s="412">
        <f t="shared" si="37"/>
        <v>0</v>
      </c>
      <c r="F650" s="412">
        <f t="shared" si="36"/>
        <v>0</v>
      </c>
    </row>
    <row r="651" spans="1:6" ht="15" customHeight="1">
      <c r="A651" s="408" t="s">
        <v>499</v>
      </c>
      <c r="B651" s="412">
        <v>1</v>
      </c>
      <c r="C651" s="410" t="s">
        <v>17</v>
      </c>
      <c r="D651" s="411"/>
      <c r="E651" s="412">
        <f t="shared" si="37"/>
        <v>0</v>
      </c>
      <c r="F651" s="412">
        <f t="shared" si="36"/>
        <v>0</v>
      </c>
    </row>
    <row r="652" spans="1:6" ht="15" customHeight="1">
      <c r="A652" s="408" t="s">
        <v>184</v>
      </c>
      <c r="B652" s="409">
        <v>0.04</v>
      </c>
      <c r="C652" s="410" t="s">
        <v>17</v>
      </c>
      <c r="D652" s="411"/>
      <c r="E652" s="412">
        <f t="shared" si="37"/>
        <v>0</v>
      </c>
      <c r="F652" s="412">
        <f t="shared" si="36"/>
        <v>0</v>
      </c>
    </row>
    <row r="653" spans="1:6" ht="15" customHeight="1">
      <c r="A653" s="408" t="s">
        <v>186</v>
      </c>
      <c r="B653" s="412">
        <v>1</v>
      </c>
      <c r="C653" s="410" t="s">
        <v>56</v>
      </c>
      <c r="D653" s="411"/>
      <c r="E653" s="412">
        <v>0</v>
      </c>
      <c r="F653" s="412">
        <f t="shared" si="36"/>
        <v>0</v>
      </c>
    </row>
    <row r="654" spans="1:6" ht="15" customHeight="1">
      <c r="A654" s="413"/>
      <c r="B654" s="414"/>
      <c r="C654" s="414"/>
      <c r="D654" s="415"/>
      <c r="E654" s="416"/>
      <c r="F654" s="417">
        <f>ROUND(SUM(F645:F653),2)</f>
        <v>0</v>
      </c>
    </row>
    <row r="655" spans="1:6" ht="15" customHeight="1" thickBot="1">
      <c r="A655" s="400"/>
      <c r="B655" s="401"/>
      <c r="C655" s="401"/>
      <c r="D655" s="401"/>
      <c r="E655" s="402"/>
      <c r="F655" s="403"/>
    </row>
    <row r="656" spans="1:6" ht="15.75" customHeight="1" thickBot="1">
      <c r="A656" s="597" t="s">
        <v>188</v>
      </c>
      <c r="B656" s="598"/>
      <c r="C656" s="598"/>
      <c r="D656" s="598"/>
      <c r="E656" s="598"/>
      <c r="F656" s="599"/>
    </row>
    <row r="657" spans="1:6" ht="15.6">
      <c r="A657" s="60" t="s">
        <v>29</v>
      </c>
      <c r="B657" s="61" t="s">
        <v>30</v>
      </c>
      <c r="C657" s="62" t="s">
        <v>17</v>
      </c>
      <c r="D657" s="62" t="s">
        <v>31</v>
      </c>
      <c r="E657" s="63" t="s">
        <v>32</v>
      </c>
      <c r="F657" s="64" t="s">
        <v>33</v>
      </c>
    </row>
    <row r="658" spans="1:6" ht="27">
      <c r="A658" s="125" t="s">
        <v>188</v>
      </c>
      <c r="B658" s="126">
        <v>1</v>
      </c>
      <c r="C658" s="126" t="s">
        <v>7</v>
      </c>
      <c r="D658" s="126">
        <v>1</v>
      </c>
      <c r="E658" s="135"/>
      <c r="F658" s="104">
        <f>E658*B658/D658</f>
        <v>0</v>
      </c>
    </row>
    <row r="659" spans="1:6">
      <c r="A659" s="125" t="s">
        <v>182</v>
      </c>
      <c r="B659" s="126">
        <v>1</v>
      </c>
      <c r="C659" s="126" t="s">
        <v>7</v>
      </c>
      <c r="D659" s="126">
        <v>1</v>
      </c>
      <c r="E659" s="135"/>
      <c r="F659" s="104">
        <f>E659*B659/D659</f>
        <v>0</v>
      </c>
    </row>
    <row r="660" spans="1:6">
      <c r="A660" s="137" t="s">
        <v>183</v>
      </c>
      <c r="B660" s="126">
        <v>1</v>
      </c>
      <c r="C660" s="126" t="s">
        <v>7</v>
      </c>
      <c r="D660" s="126">
        <v>1</v>
      </c>
      <c r="E660" s="135"/>
      <c r="F660" s="104">
        <f>E660*B660/D660</f>
        <v>0</v>
      </c>
    </row>
    <row r="661" spans="1:6">
      <c r="E661" s="127" t="s">
        <v>17</v>
      </c>
      <c r="F661" s="136">
        <f>SUM(F658:F660)</f>
        <v>0</v>
      </c>
    </row>
    <row r="662" spans="1:6">
      <c r="E662" s="127" t="s">
        <v>14</v>
      </c>
      <c r="F662" s="136">
        <f>+F661*0.18</f>
        <v>0</v>
      </c>
    </row>
    <row r="663" spans="1:6" ht="15" thickBot="1"/>
    <row r="664" spans="1:6" ht="15" thickBot="1">
      <c r="A664" s="597" t="s">
        <v>200</v>
      </c>
      <c r="B664" s="598"/>
      <c r="C664" s="598"/>
      <c r="D664" s="598"/>
      <c r="E664" s="598"/>
      <c r="F664" s="599"/>
    </row>
    <row r="665" spans="1:6" ht="15.6">
      <c r="A665" s="60" t="s">
        <v>29</v>
      </c>
      <c r="B665" s="61" t="s">
        <v>30</v>
      </c>
      <c r="C665" s="62" t="s">
        <v>17</v>
      </c>
      <c r="D665" s="62" t="s">
        <v>31</v>
      </c>
      <c r="E665" s="63" t="s">
        <v>32</v>
      </c>
      <c r="F665" s="64" t="s">
        <v>33</v>
      </c>
    </row>
    <row r="666" spans="1:6" ht="66.599999999999994">
      <c r="A666" s="125" t="s">
        <v>539</v>
      </c>
      <c r="B666" s="126">
        <v>1</v>
      </c>
      <c r="C666" s="126" t="s">
        <v>7</v>
      </c>
      <c r="D666" s="126">
        <v>1</v>
      </c>
      <c r="E666" s="135"/>
      <c r="F666" s="104">
        <f>E666*B666/D666</f>
        <v>0</v>
      </c>
    </row>
    <row r="667" spans="1:6">
      <c r="A667" s="125" t="s">
        <v>182</v>
      </c>
      <c r="B667" s="126">
        <v>1</v>
      </c>
      <c r="C667" s="126" t="s">
        <v>7</v>
      </c>
      <c r="D667" s="126">
        <v>1</v>
      </c>
      <c r="E667" s="135"/>
      <c r="F667" s="104">
        <f>E667*B667/D667</f>
        <v>0</v>
      </c>
    </row>
    <row r="668" spans="1:6">
      <c r="A668" s="137" t="s">
        <v>183</v>
      </c>
      <c r="B668" s="126">
        <v>1</v>
      </c>
      <c r="C668" s="126" t="s">
        <v>7</v>
      </c>
      <c r="D668" s="126">
        <v>1</v>
      </c>
      <c r="E668" s="135"/>
      <c r="F668" s="104">
        <f>E668*B668/D668</f>
        <v>0</v>
      </c>
    </row>
    <row r="669" spans="1:6">
      <c r="E669" s="127" t="s">
        <v>17</v>
      </c>
      <c r="F669" s="136">
        <f>SUM(F666:F668)</f>
        <v>0</v>
      </c>
    </row>
    <row r="670" spans="1:6">
      <c r="E670" s="127" t="s">
        <v>14</v>
      </c>
      <c r="F670" s="136">
        <f>+F669*0.18</f>
        <v>0</v>
      </c>
    </row>
    <row r="671" spans="1:6" ht="15" thickBot="1"/>
    <row r="672" spans="1:6" ht="15" thickBot="1">
      <c r="A672" s="594" t="s">
        <v>162</v>
      </c>
      <c r="B672" s="595"/>
      <c r="C672" s="595"/>
      <c r="D672" s="595"/>
      <c r="E672" s="595"/>
      <c r="F672" s="596"/>
    </row>
    <row r="673" spans="1:6" ht="15.6">
      <c r="A673" s="60" t="s">
        <v>29</v>
      </c>
      <c r="B673" s="61" t="s">
        <v>30</v>
      </c>
      <c r="C673" s="62" t="s">
        <v>17</v>
      </c>
      <c r="D673" s="62" t="s">
        <v>31</v>
      </c>
      <c r="E673" s="63" t="s">
        <v>32</v>
      </c>
      <c r="F673" s="64" t="s">
        <v>33</v>
      </c>
    </row>
    <row r="674" spans="1:6">
      <c r="A674" s="125" t="s">
        <v>162</v>
      </c>
      <c r="B674" s="126">
        <v>1</v>
      </c>
      <c r="C674" s="126" t="s">
        <v>7</v>
      </c>
      <c r="D674" s="126">
        <v>1</v>
      </c>
      <c r="E674" s="135"/>
      <c r="F674" s="104">
        <f>E674*B674/D674</f>
        <v>0</v>
      </c>
    </row>
    <row r="675" spans="1:6">
      <c r="E675" s="127" t="s">
        <v>17</v>
      </c>
      <c r="F675" s="136">
        <f>SUM(F674:F674)</f>
        <v>0</v>
      </c>
    </row>
    <row r="676" spans="1:6">
      <c r="E676" s="127" t="s">
        <v>14</v>
      </c>
      <c r="F676" s="136">
        <f>+F675*0.18</f>
        <v>0</v>
      </c>
    </row>
    <row r="677" spans="1:6" ht="15" thickBot="1"/>
    <row r="678" spans="1:6" ht="15" thickBot="1">
      <c r="A678" s="594" t="s">
        <v>181</v>
      </c>
      <c r="B678" s="595"/>
      <c r="C678" s="595"/>
      <c r="D678" s="595"/>
      <c r="E678" s="595"/>
      <c r="F678" s="596"/>
    </row>
    <row r="679" spans="1:6" ht="15.6">
      <c r="A679" s="60" t="s">
        <v>29</v>
      </c>
      <c r="B679" s="61" t="s">
        <v>30</v>
      </c>
      <c r="C679" s="62" t="s">
        <v>17</v>
      </c>
      <c r="D679" s="62" t="s">
        <v>31</v>
      </c>
      <c r="E679" s="63" t="s">
        <v>32</v>
      </c>
      <c r="F679" s="64" t="s">
        <v>33</v>
      </c>
    </row>
    <row r="680" spans="1:6">
      <c r="A680" s="125" t="s">
        <v>162</v>
      </c>
      <c r="B680" s="126">
        <v>1</v>
      </c>
      <c r="C680" s="126" t="s">
        <v>7</v>
      </c>
      <c r="D680" s="126">
        <v>1</v>
      </c>
      <c r="E680" s="135"/>
      <c r="F680" s="104">
        <f>E680*B680/D680</f>
        <v>0</v>
      </c>
    </row>
    <row r="681" spans="1:6">
      <c r="E681" s="127" t="s">
        <v>17</v>
      </c>
      <c r="F681" s="136">
        <f>SUM(F680:F680)</f>
        <v>0</v>
      </c>
    </row>
    <row r="682" spans="1:6">
      <c r="E682" s="127" t="s">
        <v>14</v>
      </c>
      <c r="F682" s="136">
        <f>+F681*0.18</f>
        <v>0</v>
      </c>
    </row>
    <row r="683" spans="1:6" ht="15" thickBot="1"/>
    <row r="684" spans="1:6" ht="15" thickBot="1">
      <c r="A684" s="594" t="s">
        <v>164</v>
      </c>
      <c r="B684" s="595"/>
      <c r="C684" s="595"/>
      <c r="D684" s="595"/>
      <c r="E684" s="595"/>
      <c r="F684" s="596"/>
    </row>
    <row r="685" spans="1:6" ht="15.6">
      <c r="A685" s="60" t="s">
        <v>29</v>
      </c>
      <c r="B685" s="61" t="s">
        <v>30</v>
      </c>
      <c r="C685" s="62" t="s">
        <v>17</v>
      </c>
      <c r="D685" s="62" t="s">
        <v>31</v>
      </c>
      <c r="E685" s="63" t="s">
        <v>32</v>
      </c>
      <c r="F685" s="64" t="s">
        <v>33</v>
      </c>
    </row>
    <row r="686" spans="1:6">
      <c r="A686" s="125" t="s">
        <v>164</v>
      </c>
      <c r="B686" s="126">
        <v>1</v>
      </c>
      <c r="C686" s="126" t="s">
        <v>7</v>
      </c>
      <c r="D686" s="126">
        <v>1</v>
      </c>
      <c r="E686" s="135"/>
      <c r="F686" s="104">
        <f>E686*B686/D686</f>
        <v>0</v>
      </c>
    </row>
    <row r="687" spans="1:6">
      <c r="E687" s="127" t="s">
        <v>17</v>
      </c>
      <c r="F687" s="136">
        <f>SUM(F686:F686)</f>
        <v>0</v>
      </c>
    </row>
    <row r="688" spans="1:6">
      <c r="E688" s="127" t="s">
        <v>14</v>
      </c>
      <c r="F688" s="136">
        <f>+F687*0.18</f>
        <v>0</v>
      </c>
    </row>
    <row r="689" spans="1:6" ht="15" thickBot="1"/>
    <row r="690" spans="1:6" ht="15" thickBot="1">
      <c r="A690" s="594" t="s">
        <v>165</v>
      </c>
      <c r="B690" s="595"/>
      <c r="C690" s="595"/>
      <c r="D690" s="595"/>
      <c r="E690" s="595"/>
      <c r="F690" s="596"/>
    </row>
    <row r="691" spans="1:6" ht="15.6">
      <c r="A691" s="60" t="s">
        <v>29</v>
      </c>
      <c r="B691" s="61" t="s">
        <v>30</v>
      </c>
      <c r="C691" s="62" t="s">
        <v>17</v>
      </c>
      <c r="D691" s="62" t="s">
        <v>31</v>
      </c>
      <c r="E691" s="63" t="s">
        <v>32</v>
      </c>
      <c r="F691" s="64" t="s">
        <v>33</v>
      </c>
    </row>
    <row r="692" spans="1:6">
      <c r="A692" s="125" t="s">
        <v>164</v>
      </c>
      <c r="B692" s="126">
        <v>1</v>
      </c>
      <c r="C692" s="126" t="s">
        <v>7</v>
      </c>
      <c r="D692" s="126">
        <v>1</v>
      </c>
      <c r="E692" s="135"/>
      <c r="F692" s="104">
        <f>E692*B692/D692</f>
        <v>0</v>
      </c>
    </row>
    <row r="693" spans="1:6">
      <c r="E693" s="127" t="s">
        <v>17</v>
      </c>
      <c r="F693" s="136">
        <f>SUM(F692:F692)</f>
        <v>0</v>
      </c>
    </row>
    <row r="694" spans="1:6">
      <c r="E694" s="127" t="s">
        <v>14</v>
      </c>
      <c r="F694" s="136">
        <f>+F693*0.18</f>
        <v>0</v>
      </c>
    </row>
    <row r="695" spans="1:6" ht="15" thickBot="1"/>
    <row r="696" spans="1:6" ht="15" thickBot="1">
      <c r="A696" s="594" t="s">
        <v>166</v>
      </c>
      <c r="B696" s="595"/>
      <c r="C696" s="595"/>
      <c r="D696" s="595"/>
      <c r="E696" s="595"/>
      <c r="F696" s="596"/>
    </row>
    <row r="697" spans="1:6" ht="15.6">
      <c r="A697" s="60" t="s">
        <v>29</v>
      </c>
      <c r="B697" s="61" t="s">
        <v>30</v>
      </c>
      <c r="C697" s="62" t="s">
        <v>17</v>
      </c>
      <c r="D697" s="62" t="s">
        <v>31</v>
      </c>
      <c r="E697" s="63" t="s">
        <v>32</v>
      </c>
      <c r="F697" s="64" t="s">
        <v>33</v>
      </c>
    </row>
    <row r="698" spans="1:6">
      <c r="A698" s="125" t="s">
        <v>166</v>
      </c>
      <c r="B698" s="126">
        <v>1</v>
      </c>
      <c r="C698" s="126" t="s">
        <v>7</v>
      </c>
      <c r="D698" s="126">
        <v>1</v>
      </c>
      <c r="E698" s="135"/>
      <c r="F698" s="104">
        <f>E698*B698/D698</f>
        <v>0</v>
      </c>
    </row>
    <row r="699" spans="1:6">
      <c r="E699" s="127" t="s">
        <v>17</v>
      </c>
      <c r="F699" s="136">
        <f>SUM(F698:F698)</f>
        <v>0</v>
      </c>
    </row>
    <row r="700" spans="1:6">
      <c r="E700" s="127" t="s">
        <v>14</v>
      </c>
      <c r="F700" s="136">
        <f>+F699*0.18</f>
        <v>0</v>
      </c>
    </row>
    <row r="701" spans="1:6" ht="15" thickBot="1"/>
    <row r="702" spans="1:6" ht="15" thickBot="1">
      <c r="A702" s="594" t="s">
        <v>168</v>
      </c>
      <c r="B702" s="595"/>
      <c r="C702" s="595"/>
      <c r="D702" s="595"/>
      <c r="E702" s="595"/>
      <c r="F702" s="596"/>
    </row>
    <row r="703" spans="1:6" ht="15.6">
      <c r="A703" s="60" t="s">
        <v>29</v>
      </c>
      <c r="B703" s="61" t="s">
        <v>30</v>
      </c>
      <c r="C703" s="62" t="s">
        <v>17</v>
      </c>
      <c r="D703" s="62" t="s">
        <v>31</v>
      </c>
      <c r="E703" s="63" t="s">
        <v>32</v>
      </c>
      <c r="F703" s="64" t="s">
        <v>33</v>
      </c>
    </row>
    <row r="704" spans="1:6">
      <c r="A704" s="125" t="s">
        <v>168</v>
      </c>
      <c r="B704" s="126">
        <v>1</v>
      </c>
      <c r="C704" s="126" t="s">
        <v>7</v>
      </c>
      <c r="D704" s="126">
        <v>1</v>
      </c>
      <c r="E704" s="135"/>
      <c r="F704" s="104">
        <f>E704*B704/D704</f>
        <v>0</v>
      </c>
    </row>
    <row r="705" spans="1:6">
      <c r="E705" s="127" t="s">
        <v>17</v>
      </c>
      <c r="F705" s="136">
        <f>SUM(F704:F704)</f>
        <v>0</v>
      </c>
    </row>
    <row r="706" spans="1:6">
      <c r="E706" s="127" t="s">
        <v>14</v>
      </c>
      <c r="F706" s="136">
        <f>+F705*0.18</f>
        <v>0</v>
      </c>
    </row>
    <row r="707" spans="1:6" ht="15" thickBot="1"/>
    <row r="708" spans="1:6" ht="15" thickBot="1">
      <c r="A708" s="594" t="s">
        <v>169</v>
      </c>
      <c r="B708" s="595"/>
      <c r="C708" s="595"/>
      <c r="D708" s="595"/>
      <c r="E708" s="595"/>
      <c r="F708" s="596"/>
    </row>
    <row r="709" spans="1:6" ht="15.6">
      <c r="A709" s="60" t="s">
        <v>29</v>
      </c>
      <c r="B709" s="61" t="s">
        <v>30</v>
      </c>
      <c r="C709" s="62" t="s">
        <v>17</v>
      </c>
      <c r="D709" s="62" t="s">
        <v>31</v>
      </c>
      <c r="E709" s="63" t="s">
        <v>32</v>
      </c>
      <c r="F709" s="64" t="s">
        <v>33</v>
      </c>
    </row>
    <row r="710" spans="1:6">
      <c r="A710" s="125" t="s">
        <v>169</v>
      </c>
      <c r="B710" s="126">
        <v>1</v>
      </c>
      <c r="C710" s="126" t="s">
        <v>7</v>
      </c>
      <c r="D710" s="126">
        <v>1</v>
      </c>
      <c r="E710" s="135"/>
      <c r="F710" s="104">
        <f>E710*B710/D710</f>
        <v>0</v>
      </c>
    </row>
    <row r="711" spans="1:6">
      <c r="E711" s="127" t="s">
        <v>17</v>
      </c>
      <c r="F711" s="136">
        <f>SUM(F710:F710)</f>
        <v>0</v>
      </c>
    </row>
    <row r="712" spans="1:6">
      <c r="E712" s="127" t="s">
        <v>14</v>
      </c>
      <c r="F712" s="136">
        <f>+F711*0.18</f>
        <v>0</v>
      </c>
    </row>
    <row r="713" spans="1:6" ht="15" thickBot="1"/>
    <row r="714" spans="1:6" ht="15" thickBot="1">
      <c r="A714" s="594" t="s">
        <v>170</v>
      </c>
      <c r="B714" s="595"/>
      <c r="C714" s="595"/>
      <c r="D714" s="595"/>
      <c r="E714" s="595"/>
      <c r="F714" s="596"/>
    </row>
    <row r="715" spans="1:6" ht="15.6">
      <c r="A715" s="60" t="s">
        <v>29</v>
      </c>
      <c r="B715" s="61" t="s">
        <v>30</v>
      </c>
      <c r="C715" s="62" t="s">
        <v>17</v>
      </c>
      <c r="D715" s="62" t="s">
        <v>31</v>
      </c>
      <c r="E715" s="63" t="s">
        <v>32</v>
      </c>
      <c r="F715" s="64" t="s">
        <v>33</v>
      </c>
    </row>
    <row r="716" spans="1:6">
      <c r="A716" s="125" t="s">
        <v>170</v>
      </c>
      <c r="B716" s="126">
        <v>1</v>
      </c>
      <c r="C716" s="126" t="s">
        <v>7</v>
      </c>
      <c r="D716" s="126">
        <v>1</v>
      </c>
      <c r="E716" s="135"/>
      <c r="F716" s="104">
        <f>E716*B716/D716</f>
        <v>0</v>
      </c>
    </row>
    <row r="717" spans="1:6">
      <c r="E717" s="127" t="s">
        <v>17</v>
      </c>
      <c r="F717" s="136">
        <f>SUM(F716:F716)</f>
        <v>0</v>
      </c>
    </row>
    <row r="718" spans="1:6">
      <c r="E718" s="127" t="s">
        <v>14</v>
      </c>
      <c r="F718" s="136">
        <f>+F717*0.18</f>
        <v>0</v>
      </c>
    </row>
    <row r="719" spans="1:6" ht="15" thickBot="1"/>
    <row r="720" spans="1:6" ht="15" thickBot="1">
      <c r="A720" s="594" t="s">
        <v>171</v>
      </c>
      <c r="B720" s="595"/>
      <c r="C720" s="595"/>
      <c r="D720" s="595"/>
      <c r="E720" s="595"/>
      <c r="F720" s="596"/>
    </row>
    <row r="721" spans="1:6" ht="15.6">
      <c r="A721" s="60" t="s">
        <v>29</v>
      </c>
      <c r="B721" s="61" t="s">
        <v>30</v>
      </c>
      <c r="C721" s="62" t="s">
        <v>17</v>
      </c>
      <c r="D721" s="62" t="s">
        <v>31</v>
      </c>
      <c r="E721" s="63" t="s">
        <v>32</v>
      </c>
      <c r="F721" s="64" t="s">
        <v>33</v>
      </c>
    </row>
    <row r="722" spans="1:6">
      <c r="A722" s="125" t="s">
        <v>171</v>
      </c>
      <c r="B722" s="126">
        <v>1</v>
      </c>
      <c r="C722" s="126" t="s">
        <v>7</v>
      </c>
      <c r="D722" s="126">
        <v>1</v>
      </c>
      <c r="E722" s="135"/>
      <c r="F722" s="104">
        <f>E722*B722/D722</f>
        <v>0</v>
      </c>
    </row>
    <row r="723" spans="1:6">
      <c r="E723" s="127" t="s">
        <v>17</v>
      </c>
      <c r="F723" s="136">
        <f>SUM(F722:F722)</f>
        <v>0</v>
      </c>
    </row>
    <row r="724" spans="1:6">
      <c r="E724" s="127" t="s">
        <v>14</v>
      </c>
      <c r="F724" s="136">
        <f>+F723*0.18</f>
        <v>0</v>
      </c>
    </row>
    <row r="725" spans="1:6" ht="15" thickBot="1"/>
    <row r="726" spans="1:6" ht="15" thickBot="1">
      <c r="A726" s="594" t="s">
        <v>172</v>
      </c>
      <c r="B726" s="595"/>
      <c r="C726" s="595"/>
      <c r="D726" s="595"/>
      <c r="E726" s="595"/>
      <c r="F726" s="596"/>
    </row>
    <row r="727" spans="1:6" ht="15.6">
      <c r="A727" s="60" t="s">
        <v>29</v>
      </c>
      <c r="B727" s="61" t="s">
        <v>30</v>
      </c>
      <c r="C727" s="62" t="s">
        <v>17</v>
      </c>
      <c r="D727" s="62" t="s">
        <v>31</v>
      </c>
      <c r="E727" s="63" t="s">
        <v>32</v>
      </c>
      <c r="F727" s="64" t="s">
        <v>33</v>
      </c>
    </row>
    <row r="728" spans="1:6">
      <c r="A728" s="125" t="s">
        <v>172</v>
      </c>
      <c r="B728" s="126">
        <v>1</v>
      </c>
      <c r="C728" s="126" t="s">
        <v>7</v>
      </c>
      <c r="D728" s="126">
        <v>1</v>
      </c>
      <c r="E728" s="135"/>
      <c r="F728" s="104">
        <f>E728*B728/D728</f>
        <v>0</v>
      </c>
    </row>
    <row r="729" spans="1:6">
      <c r="E729" s="127" t="s">
        <v>17</v>
      </c>
      <c r="F729" s="136">
        <f>SUM(F728:F728)</f>
        <v>0</v>
      </c>
    </row>
    <row r="730" spans="1:6">
      <c r="E730" s="127" t="s">
        <v>14</v>
      </c>
      <c r="F730" s="136">
        <f>+F729*0.18</f>
        <v>0</v>
      </c>
    </row>
    <row r="731" spans="1:6" ht="15" thickBot="1"/>
    <row r="732" spans="1:6" ht="15" thickBot="1">
      <c r="A732" s="594" t="s">
        <v>173</v>
      </c>
      <c r="B732" s="595"/>
      <c r="C732" s="595"/>
      <c r="D732" s="595"/>
      <c r="E732" s="595"/>
      <c r="F732" s="596"/>
    </row>
    <row r="733" spans="1:6" ht="15.6">
      <c r="A733" s="60" t="s">
        <v>29</v>
      </c>
      <c r="B733" s="61" t="s">
        <v>30</v>
      </c>
      <c r="C733" s="62" t="s">
        <v>17</v>
      </c>
      <c r="D733" s="62" t="s">
        <v>31</v>
      </c>
      <c r="E733" s="63" t="s">
        <v>32</v>
      </c>
      <c r="F733" s="64" t="s">
        <v>33</v>
      </c>
    </row>
    <row r="734" spans="1:6">
      <c r="A734" s="125" t="s">
        <v>173</v>
      </c>
      <c r="B734" s="126">
        <v>1</v>
      </c>
      <c r="C734" s="126" t="s">
        <v>7</v>
      </c>
      <c r="D734" s="126">
        <v>1</v>
      </c>
      <c r="E734" s="135"/>
      <c r="F734" s="104">
        <f>E734*B734/D734</f>
        <v>0</v>
      </c>
    </row>
    <row r="735" spans="1:6">
      <c r="E735" s="127" t="s">
        <v>17</v>
      </c>
      <c r="F735" s="136">
        <f>SUM(F734:F734)</f>
        <v>0</v>
      </c>
    </row>
    <row r="736" spans="1:6">
      <c r="E736" s="127" t="s">
        <v>14</v>
      </c>
      <c r="F736" s="136">
        <f>+F735*0.18</f>
        <v>0</v>
      </c>
    </row>
    <row r="737" spans="1:6" ht="15" thickBot="1"/>
    <row r="738" spans="1:6" ht="15" thickBot="1">
      <c r="A738" s="594" t="s">
        <v>174</v>
      </c>
      <c r="B738" s="595"/>
      <c r="C738" s="595"/>
      <c r="D738" s="595"/>
      <c r="E738" s="595"/>
      <c r="F738" s="596"/>
    </row>
    <row r="739" spans="1:6" ht="15.6">
      <c r="A739" s="60" t="s">
        <v>29</v>
      </c>
      <c r="B739" s="61" t="s">
        <v>30</v>
      </c>
      <c r="C739" s="62" t="s">
        <v>17</v>
      </c>
      <c r="D739" s="62" t="s">
        <v>31</v>
      </c>
      <c r="E739" s="63" t="s">
        <v>32</v>
      </c>
      <c r="F739" s="64" t="s">
        <v>33</v>
      </c>
    </row>
    <row r="740" spans="1:6">
      <c r="A740" s="125" t="s">
        <v>174</v>
      </c>
      <c r="B740" s="126">
        <v>1</v>
      </c>
      <c r="C740" s="126" t="s">
        <v>7</v>
      </c>
      <c r="D740" s="126">
        <v>1</v>
      </c>
      <c r="E740" s="135"/>
      <c r="F740" s="104">
        <f>E740*B740/D740</f>
        <v>0</v>
      </c>
    </row>
    <row r="741" spans="1:6">
      <c r="E741" s="127" t="s">
        <v>17</v>
      </c>
      <c r="F741" s="136">
        <f>SUM(F740:F740)</f>
        <v>0</v>
      </c>
    </row>
    <row r="742" spans="1:6">
      <c r="E742" s="127" t="s">
        <v>14</v>
      </c>
      <c r="F742" s="136">
        <f>+F741*0.18</f>
        <v>0</v>
      </c>
    </row>
    <row r="743" spans="1:6" ht="15" thickBot="1"/>
    <row r="744" spans="1:6" ht="15" thickBot="1">
      <c r="A744" s="594" t="s">
        <v>175</v>
      </c>
      <c r="B744" s="595"/>
      <c r="C744" s="595"/>
      <c r="D744" s="595"/>
      <c r="E744" s="595"/>
      <c r="F744" s="596"/>
    </row>
    <row r="745" spans="1:6" ht="15.6">
      <c r="A745" s="60" t="s">
        <v>29</v>
      </c>
      <c r="B745" s="61" t="s">
        <v>30</v>
      </c>
      <c r="C745" s="62" t="s">
        <v>17</v>
      </c>
      <c r="D745" s="62" t="s">
        <v>31</v>
      </c>
      <c r="E745" s="63" t="s">
        <v>32</v>
      </c>
      <c r="F745" s="64" t="s">
        <v>33</v>
      </c>
    </row>
    <row r="746" spans="1:6">
      <c r="A746" s="125" t="s">
        <v>175</v>
      </c>
      <c r="B746" s="126">
        <v>1</v>
      </c>
      <c r="C746" s="126" t="s">
        <v>7</v>
      </c>
      <c r="D746" s="126">
        <v>1</v>
      </c>
      <c r="E746" s="135"/>
      <c r="F746" s="104">
        <f>E746*B746/D746</f>
        <v>0</v>
      </c>
    </row>
    <row r="747" spans="1:6">
      <c r="E747" s="127" t="s">
        <v>17</v>
      </c>
      <c r="F747" s="136">
        <f>SUM(F746:F746)</f>
        <v>0</v>
      </c>
    </row>
    <row r="748" spans="1:6">
      <c r="E748" s="127" t="s">
        <v>14</v>
      </c>
      <c r="F748" s="136">
        <f>+F747*0.18</f>
        <v>0</v>
      </c>
    </row>
    <row r="749" spans="1:6" ht="15" thickBot="1"/>
    <row r="750" spans="1:6" ht="15" thickBot="1">
      <c r="A750" s="594" t="s">
        <v>176</v>
      </c>
      <c r="B750" s="595"/>
      <c r="C750" s="595"/>
      <c r="D750" s="595"/>
      <c r="E750" s="595"/>
      <c r="F750" s="596"/>
    </row>
    <row r="751" spans="1:6" ht="15.6">
      <c r="A751" s="60" t="s">
        <v>29</v>
      </c>
      <c r="B751" s="61" t="s">
        <v>30</v>
      </c>
      <c r="C751" s="62" t="s">
        <v>17</v>
      </c>
      <c r="D751" s="62" t="s">
        <v>31</v>
      </c>
      <c r="E751" s="63" t="s">
        <v>32</v>
      </c>
      <c r="F751" s="64" t="s">
        <v>33</v>
      </c>
    </row>
    <row r="752" spans="1:6">
      <c r="A752" s="125" t="s">
        <v>176</v>
      </c>
      <c r="B752" s="126">
        <v>1</v>
      </c>
      <c r="C752" s="126" t="s">
        <v>7</v>
      </c>
      <c r="D752" s="126">
        <v>1</v>
      </c>
      <c r="E752" s="135"/>
      <c r="F752" s="104">
        <f>E752*B752/D752</f>
        <v>0</v>
      </c>
    </row>
    <row r="753" spans="1:6">
      <c r="E753" s="127" t="s">
        <v>17</v>
      </c>
      <c r="F753" s="136">
        <f>SUM(F752:F752)</f>
        <v>0</v>
      </c>
    </row>
    <row r="754" spans="1:6">
      <c r="E754" s="127" t="s">
        <v>14</v>
      </c>
      <c r="F754" s="136">
        <f>+F753*0.18</f>
        <v>0</v>
      </c>
    </row>
    <row r="755" spans="1:6" ht="15" thickBot="1"/>
    <row r="756" spans="1:6" ht="15" thickBot="1">
      <c r="A756" s="594" t="s">
        <v>177</v>
      </c>
      <c r="B756" s="595"/>
      <c r="C756" s="595"/>
      <c r="D756" s="595"/>
      <c r="E756" s="595"/>
      <c r="F756" s="596"/>
    </row>
    <row r="757" spans="1:6" ht="15.6">
      <c r="A757" s="60" t="s">
        <v>29</v>
      </c>
      <c r="B757" s="61" t="s">
        <v>30</v>
      </c>
      <c r="C757" s="62" t="s">
        <v>17</v>
      </c>
      <c r="D757" s="62" t="s">
        <v>31</v>
      </c>
      <c r="E757" s="63" t="s">
        <v>32</v>
      </c>
      <c r="F757" s="64" t="s">
        <v>33</v>
      </c>
    </row>
    <row r="758" spans="1:6">
      <c r="A758" s="125" t="s">
        <v>177</v>
      </c>
      <c r="B758" s="126">
        <v>1</v>
      </c>
      <c r="C758" s="126" t="s">
        <v>7</v>
      </c>
      <c r="D758" s="126">
        <v>1</v>
      </c>
      <c r="E758" s="135"/>
      <c r="F758" s="104">
        <f>E758*B758/D758</f>
        <v>0</v>
      </c>
    </row>
    <row r="759" spans="1:6">
      <c r="E759" s="127" t="s">
        <v>17</v>
      </c>
      <c r="F759" s="136">
        <f>SUM(F758:F758)</f>
        <v>0</v>
      </c>
    </row>
    <row r="760" spans="1:6">
      <c r="E760" s="127" t="s">
        <v>14</v>
      </c>
      <c r="F760" s="136">
        <f>+F759*0.18</f>
        <v>0</v>
      </c>
    </row>
    <row r="761" spans="1:6" ht="15" thickBot="1"/>
    <row r="762" spans="1:6" ht="15" thickBot="1">
      <c r="A762" s="594" t="s">
        <v>180</v>
      </c>
      <c r="B762" s="595"/>
      <c r="C762" s="595"/>
      <c r="D762" s="595"/>
      <c r="E762" s="595"/>
      <c r="F762" s="596"/>
    </row>
    <row r="763" spans="1:6" ht="15.6">
      <c r="A763" s="60" t="s">
        <v>29</v>
      </c>
      <c r="B763" s="61" t="s">
        <v>30</v>
      </c>
      <c r="C763" s="62" t="s">
        <v>17</v>
      </c>
      <c r="D763" s="62" t="s">
        <v>31</v>
      </c>
      <c r="E763" s="63" t="s">
        <v>32</v>
      </c>
      <c r="F763" s="64" t="s">
        <v>33</v>
      </c>
    </row>
    <row r="764" spans="1:6" ht="40.200000000000003">
      <c r="A764" s="125" t="s">
        <v>178</v>
      </c>
      <c r="B764" s="126">
        <v>1</v>
      </c>
      <c r="C764" s="126" t="s">
        <v>7</v>
      </c>
      <c r="D764" s="126">
        <v>1</v>
      </c>
      <c r="E764" s="135"/>
      <c r="F764" s="104">
        <f>E764*B764/D764</f>
        <v>0</v>
      </c>
    </row>
    <row r="765" spans="1:6">
      <c r="E765" s="127" t="s">
        <v>17</v>
      </c>
      <c r="F765" s="136">
        <f>SUM(F764:F764)</f>
        <v>0</v>
      </c>
    </row>
    <row r="766" spans="1:6">
      <c r="E766" s="127" t="s">
        <v>14</v>
      </c>
      <c r="F766" s="136">
        <f>+F765*0.18</f>
        <v>0</v>
      </c>
    </row>
    <row r="767" spans="1:6" ht="15" thickBot="1"/>
    <row r="768" spans="1:6" ht="15" thickBot="1">
      <c r="A768" s="607" t="s">
        <v>52</v>
      </c>
      <c r="B768" s="608"/>
      <c r="C768" s="608"/>
      <c r="D768" s="608"/>
      <c r="E768" s="608"/>
      <c r="F768" s="609"/>
    </row>
    <row r="769" spans="1:6">
      <c r="A769" s="89" t="s">
        <v>29</v>
      </c>
      <c r="B769" s="112" t="s">
        <v>30</v>
      </c>
      <c r="C769" s="113" t="s">
        <v>17</v>
      </c>
      <c r="D769" s="113" t="s">
        <v>31</v>
      </c>
      <c r="E769" s="114" t="s">
        <v>32</v>
      </c>
      <c r="F769" s="88" t="s">
        <v>33</v>
      </c>
    </row>
    <row r="770" spans="1:6">
      <c r="A770" s="93" t="s">
        <v>53</v>
      </c>
      <c r="B770" s="92">
        <v>40</v>
      </c>
      <c r="C770" s="92" t="s">
        <v>54</v>
      </c>
      <c r="D770" s="94">
        <v>1</v>
      </c>
      <c r="E770" s="325"/>
      <c r="F770" s="91">
        <f>E770*B770/D770</f>
        <v>0</v>
      </c>
    </row>
    <row r="771" spans="1:6">
      <c r="A771" s="93" t="s">
        <v>55</v>
      </c>
      <c r="B771" s="92">
        <v>1</v>
      </c>
      <c r="C771" s="92" t="s">
        <v>56</v>
      </c>
      <c r="D771" s="94">
        <v>1</v>
      </c>
      <c r="E771" s="92"/>
      <c r="F771" s="92">
        <f>B771*E771</f>
        <v>0</v>
      </c>
    </row>
    <row r="772" spans="1:6">
      <c r="A772" s="115"/>
      <c r="B772" s="115"/>
      <c r="C772" s="115"/>
      <c r="D772" s="115"/>
      <c r="E772" s="83" t="s">
        <v>17</v>
      </c>
      <c r="F772" s="106">
        <f>SUM(F769:F771)</f>
        <v>0</v>
      </c>
    </row>
    <row r="773" spans="1:6">
      <c r="A773" s="115"/>
      <c r="B773" s="115"/>
      <c r="C773" s="115"/>
      <c r="D773" s="115"/>
      <c r="E773" s="83" t="s">
        <v>14</v>
      </c>
      <c r="F773" s="90">
        <f>+F772*0.18</f>
        <v>0</v>
      </c>
    </row>
    <row r="774" spans="1:6">
      <c r="A774" s="115"/>
      <c r="B774" s="115"/>
      <c r="C774" s="115"/>
      <c r="D774" s="115"/>
      <c r="E774" s="402"/>
      <c r="F774" s="427"/>
    </row>
    <row r="776" spans="1:6" ht="17.399999999999999">
      <c r="A776" s="430" t="s">
        <v>524</v>
      </c>
      <c r="B776" s="430"/>
      <c r="C776" s="430"/>
      <c r="D776" s="428"/>
      <c r="E776" s="428"/>
    </row>
    <row r="777" spans="1:6" ht="15" customHeight="1">
      <c r="A777" s="429" t="s">
        <v>526</v>
      </c>
      <c r="B777" s="554">
        <v>1</v>
      </c>
      <c r="C777" s="431" t="s">
        <v>525</v>
      </c>
      <c r="D777" s="432"/>
      <c r="E777" s="432">
        <f t="shared" ref="E777:E787" si="38">B777*D777</f>
        <v>0</v>
      </c>
    </row>
    <row r="778" spans="1:6" ht="15" customHeight="1">
      <c r="A778" s="429" t="s">
        <v>527</v>
      </c>
      <c r="B778" s="554">
        <v>1</v>
      </c>
      <c r="C778" s="431" t="s">
        <v>525</v>
      </c>
      <c r="D778" s="432"/>
      <c r="E778" s="432">
        <f t="shared" si="38"/>
        <v>0</v>
      </c>
    </row>
    <row r="779" spans="1:6" ht="17.399999999999999">
      <c r="A779" s="429" t="s">
        <v>528</v>
      </c>
      <c r="B779" s="554">
        <v>1</v>
      </c>
      <c r="C779" s="431" t="s">
        <v>525</v>
      </c>
      <c r="D779" s="432"/>
      <c r="E779" s="432">
        <f t="shared" si="38"/>
        <v>0</v>
      </c>
    </row>
    <row r="780" spans="1:6" ht="17.399999999999999">
      <c r="A780" s="429" t="s">
        <v>529</v>
      </c>
      <c r="B780" s="554">
        <v>1</v>
      </c>
      <c r="C780" s="431" t="s">
        <v>525</v>
      </c>
      <c r="D780" s="432"/>
      <c r="E780" s="432">
        <f t="shared" si="38"/>
        <v>0</v>
      </c>
    </row>
    <row r="781" spans="1:6" ht="17.399999999999999">
      <c r="A781" s="429" t="s">
        <v>530</v>
      </c>
      <c r="B781" s="554">
        <v>1</v>
      </c>
      <c r="C781" s="431" t="s">
        <v>525</v>
      </c>
      <c r="D781" s="432"/>
      <c r="E781" s="432">
        <f t="shared" si="38"/>
        <v>0</v>
      </c>
    </row>
    <row r="782" spans="1:6" ht="17.399999999999999">
      <c r="A782" s="429" t="s">
        <v>531</v>
      </c>
      <c r="B782" s="554">
        <v>1</v>
      </c>
      <c r="C782" s="431" t="s">
        <v>525</v>
      </c>
      <c r="D782" s="432"/>
      <c r="E782" s="432">
        <f t="shared" si="38"/>
        <v>0</v>
      </c>
    </row>
    <row r="783" spans="1:6" ht="17.399999999999999">
      <c r="A783" s="429" t="s">
        <v>542</v>
      </c>
      <c r="B783" s="554">
        <v>1</v>
      </c>
      <c r="C783" s="431" t="s">
        <v>525</v>
      </c>
      <c r="D783" s="432"/>
      <c r="E783" s="432">
        <f t="shared" si="38"/>
        <v>0</v>
      </c>
    </row>
    <row r="784" spans="1:6" ht="17.399999999999999">
      <c r="A784" s="429" t="s">
        <v>543</v>
      </c>
      <c r="B784" s="554">
        <v>1</v>
      </c>
      <c r="C784" s="431" t="s">
        <v>525</v>
      </c>
      <c r="D784" s="432"/>
      <c r="E784" s="432">
        <f t="shared" si="38"/>
        <v>0</v>
      </c>
    </row>
    <row r="785" spans="1:5" ht="17.399999999999999">
      <c r="A785" s="429" t="s">
        <v>544</v>
      </c>
      <c r="B785" s="554">
        <v>1</v>
      </c>
      <c r="C785" s="431" t="s">
        <v>525</v>
      </c>
      <c r="D785" s="432"/>
      <c r="E785" s="432">
        <f t="shared" si="38"/>
        <v>0</v>
      </c>
    </row>
    <row r="786" spans="1:5" ht="17.399999999999999">
      <c r="A786" s="429" t="s">
        <v>545</v>
      </c>
      <c r="B786" s="554">
        <v>1</v>
      </c>
      <c r="C786" s="431" t="s">
        <v>525</v>
      </c>
      <c r="D786" s="432"/>
      <c r="E786" s="432">
        <f t="shared" si="38"/>
        <v>0</v>
      </c>
    </row>
    <row r="787" spans="1:5" ht="17.399999999999999">
      <c r="A787" s="429" t="s">
        <v>702</v>
      </c>
      <c r="B787" s="554">
        <v>1</v>
      </c>
      <c r="C787" s="431" t="s">
        <v>525</v>
      </c>
      <c r="D787" s="432"/>
      <c r="E787" s="432">
        <f t="shared" si="38"/>
        <v>0</v>
      </c>
    </row>
    <row r="788" spans="1:5" ht="17.399999999999999">
      <c r="A788" s="429"/>
      <c r="B788" s="555"/>
      <c r="C788" s="432"/>
      <c r="D788" s="432"/>
      <c r="E788" s="432"/>
    </row>
    <row r="789" spans="1:5" ht="17.399999999999999">
      <c r="A789" s="429" t="s">
        <v>532</v>
      </c>
      <c r="B789" s="555"/>
      <c r="C789" s="432"/>
      <c r="D789" s="432"/>
      <c r="E789" s="556">
        <f>SUM(E777:E788)</f>
        <v>0</v>
      </c>
    </row>
    <row r="790" spans="1:5" ht="17.399999999999999">
      <c r="A790" s="429"/>
      <c r="B790" s="555"/>
      <c r="C790" s="432"/>
      <c r="D790" s="432"/>
      <c r="E790" s="432"/>
    </row>
    <row r="791" spans="1:5" ht="17.399999999999999">
      <c r="A791" s="430" t="s">
        <v>687</v>
      </c>
      <c r="B791" s="555"/>
      <c r="C791" s="432"/>
      <c r="D791" s="432"/>
      <c r="E791" s="432"/>
    </row>
    <row r="792" spans="1:5" ht="17.399999999999999">
      <c r="A792" s="429" t="s">
        <v>526</v>
      </c>
      <c r="B792" s="555">
        <v>1</v>
      </c>
      <c r="C792" s="552" t="s">
        <v>7</v>
      </c>
      <c r="D792" s="432"/>
      <c r="E792" s="432"/>
    </row>
    <row r="793" spans="1:5" ht="17.399999999999999">
      <c r="A793" s="429" t="s">
        <v>527</v>
      </c>
      <c r="B793" s="555">
        <v>1</v>
      </c>
      <c r="C793" s="552" t="s">
        <v>7</v>
      </c>
      <c r="D793" s="432"/>
      <c r="E793" s="432"/>
    </row>
    <row r="794" spans="1:5" ht="17.399999999999999">
      <c r="A794" s="429" t="s">
        <v>528</v>
      </c>
      <c r="B794" s="555">
        <v>1</v>
      </c>
      <c r="C794" s="552" t="s">
        <v>7</v>
      </c>
      <c r="D794" s="432"/>
      <c r="E794" s="432"/>
    </row>
    <row r="795" spans="1:5" ht="17.399999999999999">
      <c r="A795" s="429" t="s">
        <v>689</v>
      </c>
      <c r="B795" s="555">
        <v>1</v>
      </c>
      <c r="C795" s="552" t="s">
        <v>7</v>
      </c>
      <c r="D795" s="432"/>
      <c r="E795" s="432"/>
    </row>
    <row r="796" spans="1:5" ht="17.399999999999999">
      <c r="A796" s="429" t="s">
        <v>702</v>
      </c>
      <c r="B796" s="555">
        <v>1</v>
      </c>
      <c r="C796" s="552" t="s">
        <v>7</v>
      </c>
      <c r="D796" s="432"/>
      <c r="E796" s="432"/>
    </row>
    <row r="797" spans="1:5" ht="17.399999999999999">
      <c r="A797" s="429"/>
      <c r="B797" s="555"/>
      <c r="C797" s="552"/>
      <c r="D797" s="432"/>
      <c r="E797" s="432"/>
    </row>
    <row r="798" spans="1:5" ht="17.399999999999999">
      <c r="A798" s="429"/>
      <c r="B798" s="555"/>
      <c r="C798" s="552"/>
      <c r="D798" s="556">
        <f>SUM(D792:D797)</f>
        <v>0</v>
      </c>
      <c r="E798" s="432"/>
    </row>
    <row r="799" spans="1:5" ht="17.399999999999999">
      <c r="A799" s="429"/>
      <c r="B799" s="555"/>
      <c r="C799" s="552"/>
      <c r="D799" s="432"/>
      <c r="E799" s="432"/>
    </row>
    <row r="800" spans="1:5" ht="34.799999999999997">
      <c r="A800" s="497" t="s">
        <v>546</v>
      </c>
      <c r="B800" s="553">
        <v>1</v>
      </c>
      <c r="C800" s="552" t="s">
        <v>107</v>
      </c>
      <c r="D800" s="432"/>
      <c r="E800" s="432">
        <f>B800*D800</f>
        <v>0</v>
      </c>
    </row>
    <row r="801" spans="1:6">
      <c r="B801" s="95"/>
      <c r="C801" s="224"/>
      <c r="D801" s="95"/>
      <c r="E801" s="95"/>
    </row>
    <row r="802" spans="1:6" ht="27.6">
      <c r="A802" s="261" t="s">
        <v>557</v>
      </c>
      <c r="B802" s="262">
        <v>1</v>
      </c>
      <c r="C802" s="262" t="s">
        <v>20</v>
      </c>
      <c r="D802" s="263">
        <v>2</v>
      </c>
      <c r="E802" s="264">
        <v>2</v>
      </c>
      <c r="F802" s="265">
        <f>D802*E802</f>
        <v>4</v>
      </c>
    </row>
    <row r="803" spans="1:6">
      <c r="A803" s="248" t="s">
        <v>224</v>
      </c>
      <c r="B803" s="249"/>
      <c r="C803" s="249"/>
      <c r="D803" s="266"/>
      <c r="E803" s="249"/>
      <c r="F803" s="267"/>
    </row>
    <row r="804" spans="1:6" ht="15">
      <c r="A804" s="251" t="s">
        <v>558</v>
      </c>
      <c r="B804" s="257">
        <v>4</v>
      </c>
      <c r="C804" s="253" t="s">
        <v>7</v>
      </c>
      <c r="D804" s="260"/>
      <c r="E804" s="255">
        <f>D804*0.18</f>
        <v>0</v>
      </c>
      <c r="F804" s="256">
        <f t="shared" ref="F804:F812" si="39">B804*(D804+E804)</f>
        <v>0</v>
      </c>
    </row>
    <row r="805" spans="1:6" ht="15">
      <c r="A805" s="251" t="s">
        <v>559</v>
      </c>
      <c r="B805" s="257">
        <v>5</v>
      </c>
      <c r="C805" s="253" t="s">
        <v>7</v>
      </c>
      <c r="D805" s="254"/>
      <c r="E805" s="255">
        <f>D805*0.18</f>
        <v>0</v>
      </c>
      <c r="F805" s="256">
        <f t="shared" si="39"/>
        <v>0</v>
      </c>
    </row>
    <row r="806" spans="1:6" ht="15">
      <c r="A806" s="251" t="s">
        <v>560</v>
      </c>
      <c r="B806" s="257">
        <v>4</v>
      </c>
      <c r="C806" s="253" t="s">
        <v>7</v>
      </c>
      <c r="D806" s="254"/>
      <c r="E806" s="255">
        <f>D806*0.18</f>
        <v>0</v>
      </c>
      <c r="F806" s="256">
        <f t="shared" si="39"/>
        <v>0</v>
      </c>
    </row>
    <row r="807" spans="1:6" ht="15">
      <c r="A807" s="251" t="s">
        <v>335</v>
      </c>
      <c r="B807" s="257">
        <v>1</v>
      </c>
      <c r="C807" s="253" t="s">
        <v>561</v>
      </c>
      <c r="D807" s="254"/>
      <c r="E807" s="255">
        <f>D807*0.18</f>
        <v>0</v>
      </c>
      <c r="F807" s="256">
        <f t="shared" si="39"/>
        <v>0</v>
      </c>
    </row>
    <row r="808" spans="1:6" ht="15">
      <c r="A808" s="251" t="s">
        <v>337</v>
      </c>
      <c r="B808" s="257">
        <v>1</v>
      </c>
      <c r="C808" s="253" t="s">
        <v>7</v>
      </c>
      <c r="D808" s="254"/>
      <c r="E808" s="255">
        <f t="shared" ref="E808:E812" si="40">D808*0.18</f>
        <v>0</v>
      </c>
      <c r="F808" s="256">
        <f t="shared" si="39"/>
        <v>0</v>
      </c>
    </row>
    <row r="809" spans="1:6" ht="15">
      <c r="A809" s="251" t="s">
        <v>338</v>
      </c>
      <c r="B809" s="257">
        <v>2</v>
      </c>
      <c r="C809" s="253" t="s">
        <v>118</v>
      </c>
      <c r="D809" s="254"/>
      <c r="E809" s="255">
        <f t="shared" si="40"/>
        <v>0</v>
      </c>
      <c r="F809" s="256">
        <f t="shared" si="39"/>
        <v>0</v>
      </c>
    </row>
    <row r="810" spans="1:6" ht="15">
      <c r="A810" s="251" t="s">
        <v>562</v>
      </c>
      <c r="B810" s="257">
        <v>30</v>
      </c>
      <c r="C810" s="253" t="s">
        <v>7</v>
      </c>
      <c r="D810" s="254"/>
      <c r="E810" s="255">
        <f t="shared" si="40"/>
        <v>0</v>
      </c>
      <c r="F810" s="256">
        <f t="shared" si="39"/>
        <v>0</v>
      </c>
    </row>
    <row r="811" spans="1:6" ht="15">
      <c r="A811" s="251" t="s">
        <v>339</v>
      </c>
      <c r="B811" s="257">
        <v>0.12</v>
      </c>
      <c r="C811" s="253" t="s">
        <v>7</v>
      </c>
      <c r="D811" s="254"/>
      <c r="E811" s="255">
        <f t="shared" si="40"/>
        <v>0</v>
      </c>
      <c r="F811" s="256">
        <f t="shared" si="39"/>
        <v>0</v>
      </c>
    </row>
    <row r="812" spans="1:6" ht="15">
      <c r="A812" s="251" t="s">
        <v>340</v>
      </c>
      <c r="B812" s="257">
        <v>1.1200000000000001</v>
      </c>
      <c r="C812" s="253" t="s">
        <v>7</v>
      </c>
      <c r="D812" s="254"/>
      <c r="E812" s="255">
        <f t="shared" si="40"/>
        <v>0</v>
      </c>
      <c r="F812" s="256">
        <f t="shared" si="39"/>
        <v>0</v>
      </c>
    </row>
    <row r="813" spans="1:6">
      <c r="A813" s="248" t="s">
        <v>186</v>
      </c>
      <c r="B813" s="249"/>
      <c r="C813" s="249"/>
      <c r="D813" s="266"/>
      <c r="E813" s="249"/>
      <c r="F813" s="267"/>
    </row>
    <row r="814" spans="1:6" ht="15">
      <c r="A814" s="251" t="s">
        <v>342</v>
      </c>
      <c r="B814" s="257">
        <v>4</v>
      </c>
      <c r="C814" s="253" t="s">
        <v>8</v>
      </c>
      <c r="D814" s="254"/>
      <c r="E814" s="255"/>
      <c r="F814" s="256">
        <f>B814*(D814+E814)</f>
        <v>0</v>
      </c>
    </row>
    <row r="815" spans="1:6">
      <c r="A815" s="203"/>
      <c r="B815" s="204"/>
      <c r="C815" s="204"/>
      <c r="D815" s="274" t="s">
        <v>344</v>
      </c>
      <c r="E815" s="275"/>
      <c r="F815" s="276">
        <f>ROUND(SUM(F804:F814),2)</f>
        <v>0</v>
      </c>
    </row>
    <row r="816" spans="1:6">
      <c r="B816" s="95"/>
      <c r="C816" s="95"/>
      <c r="D816" s="274" t="s">
        <v>20</v>
      </c>
      <c r="E816" s="275"/>
      <c r="F816" s="276">
        <f>F815/F802</f>
        <v>0</v>
      </c>
    </row>
    <row r="817" spans="1:6" ht="15" thickBot="1"/>
    <row r="818" spans="1:6" ht="15.6">
      <c r="A818" s="404" t="s">
        <v>602</v>
      </c>
      <c r="B818" s="515"/>
      <c r="C818" s="515"/>
      <c r="D818" s="516"/>
      <c r="E818" s="516"/>
      <c r="F818" s="517"/>
    </row>
    <row r="819" spans="1:6" ht="30">
      <c r="A819" s="536" t="s">
        <v>603</v>
      </c>
      <c r="B819" s="537">
        <v>1</v>
      </c>
      <c r="C819" s="538" t="s">
        <v>17</v>
      </c>
      <c r="D819" s="537"/>
      <c r="E819" s="537">
        <f>+D819*0.18</f>
        <v>0</v>
      </c>
      <c r="F819" s="537">
        <f t="shared" ref="F819:F822" si="41">ROUND(B819*(D819+E819),2)</f>
        <v>0</v>
      </c>
    </row>
    <row r="820" spans="1:6" ht="15.6">
      <c r="A820" s="518" t="s">
        <v>599</v>
      </c>
      <c r="B820" s="521">
        <v>2</v>
      </c>
      <c r="C820" s="522" t="s">
        <v>17</v>
      </c>
      <c r="D820" s="523"/>
      <c r="E820" s="524">
        <f>+D820*0.18</f>
        <v>0</v>
      </c>
      <c r="F820" s="519">
        <f t="shared" si="41"/>
        <v>0</v>
      </c>
    </row>
    <row r="821" spans="1:6" ht="15.6">
      <c r="A821" s="518" t="s">
        <v>600</v>
      </c>
      <c r="B821" s="521">
        <v>2</v>
      </c>
      <c r="C821" s="520" t="s">
        <v>17</v>
      </c>
      <c r="D821" s="523"/>
      <c r="E821" s="519"/>
      <c r="F821" s="519">
        <f t="shared" si="41"/>
        <v>0</v>
      </c>
    </row>
    <row r="822" spans="1:6" ht="15.6">
      <c r="A822" s="525" t="s">
        <v>45</v>
      </c>
      <c r="B822" s="521">
        <v>1</v>
      </c>
      <c r="C822" s="521" t="s">
        <v>601</v>
      </c>
      <c r="D822" s="526"/>
      <c r="E822" s="527">
        <v>0</v>
      </c>
      <c r="F822" s="527">
        <f t="shared" si="41"/>
        <v>0</v>
      </c>
    </row>
    <row r="823" spans="1:6" ht="15.6">
      <c r="A823" s="528"/>
      <c r="B823" s="529"/>
      <c r="C823" s="529"/>
      <c r="D823" s="530"/>
      <c r="E823" s="531"/>
      <c r="F823" s="532">
        <f>SUM(F819:F822)</f>
        <v>0</v>
      </c>
    </row>
    <row r="824" spans="1:6" ht="15" thickBot="1"/>
    <row r="825" spans="1:6" ht="15.6">
      <c r="A825" s="404" t="s">
        <v>712</v>
      </c>
      <c r="B825" s="515"/>
      <c r="C825" s="515"/>
      <c r="D825" s="516"/>
      <c r="E825" s="516"/>
      <c r="F825" s="517"/>
    </row>
    <row r="826" spans="1:6" ht="15.6">
      <c r="A826" s="518" t="s">
        <v>605</v>
      </c>
      <c r="B826" s="519">
        <v>290</v>
      </c>
      <c r="C826" s="520" t="s">
        <v>42</v>
      </c>
      <c r="D826" s="523"/>
      <c r="E826" s="519">
        <f>+D826*0.18</f>
        <v>0</v>
      </c>
      <c r="F826" s="519">
        <f t="shared" ref="F826:F828" si="42">ROUND(B826*(D826+E826),2)</f>
        <v>0</v>
      </c>
    </row>
    <row r="827" spans="1:6" ht="15.6">
      <c r="A827" s="518" t="s">
        <v>604</v>
      </c>
      <c r="B827" s="521">
        <v>1</v>
      </c>
      <c r="C827" s="522" t="s">
        <v>107</v>
      </c>
      <c r="D827" s="523"/>
      <c r="E827" s="524">
        <f>+D827*0.18</f>
        <v>0</v>
      </c>
      <c r="F827" s="519">
        <f t="shared" si="42"/>
        <v>0</v>
      </c>
    </row>
    <row r="828" spans="1:6" ht="15.6">
      <c r="A828" s="518" t="s">
        <v>186</v>
      </c>
      <c r="B828" s="521">
        <v>1</v>
      </c>
      <c r="C828" s="520" t="s">
        <v>107</v>
      </c>
      <c r="D828" s="523"/>
      <c r="E828" s="519"/>
      <c r="F828" s="519">
        <f t="shared" si="42"/>
        <v>0</v>
      </c>
    </row>
    <row r="829" spans="1:6" ht="15.6">
      <c r="D829" s="530"/>
      <c r="E829" s="531"/>
      <c r="F829" s="532">
        <f>SUM(F825:F828)</f>
        <v>0</v>
      </c>
    </row>
    <row r="830" spans="1:6" ht="15.6">
      <c r="D830" s="530"/>
      <c r="E830" s="531"/>
      <c r="F830" s="532">
        <f>F829/100</f>
        <v>0</v>
      </c>
    </row>
    <row r="834" spans="1:7" ht="14.4" customHeight="1">
      <c r="A834" s="605" t="s">
        <v>610</v>
      </c>
      <c r="B834" s="606"/>
      <c r="C834" s="515"/>
      <c r="D834" s="516"/>
      <c r="E834" s="516"/>
      <c r="F834" s="517"/>
    </row>
    <row r="835" spans="1:7">
      <c r="A835" t="s">
        <v>607</v>
      </c>
      <c r="B835" s="95">
        <v>1</v>
      </c>
      <c r="C835" s="224" t="s">
        <v>107</v>
      </c>
      <c r="D835" s="95"/>
      <c r="E835" s="95">
        <f>B835*D835</f>
        <v>0</v>
      </c>
      <c r="F835" s="95"/>
      <c r="G835" s="95"/>
    </row>
    <row r="836" spans="1:7">
      <c r="A836" t="s">
        <v>609</v>
      </c>
      <c r="B836" s="95">
        <f>4*0.3</f>
        <v>1.2</v>
      </c>
      <c r="C836" s="224" t="s">
        <v>74</v>
      </c>
      <c r="D836" s="95"/>
      <c r="E836" s="95">
        <f t="shared" ref="E836:E843" si="43">B836*D836</f>
        <v>0</v>
      </c>
      <c r="F836" s="95"/>
      <c r="G836" s="95"/>
    </row>
    <row r="837" spans="1:7">
      <c r="A837" t="s">
        <v>611</v>
      </c>
      <c r="B837" s="95">
        <f>1.3*1.2*0.15</f>
        <v>0.23399999999999999</v>
      </c>
      <c r="C837" s="224" t="s">
        <v>74</v>
      </c>
      <c r="D837" s="95"/>
      <c r="E837" s="95">
        <f t="shared" si="43"/>
        <v>0</v>
      </c>
      <c r="F837" s="95"/>
      <c r="G837" s="95"/>
    </row>
    <row r="838" spans="1:7">
      <c r="A838" t="s">
        <v>612</v>
      </c>
      <c r="B838" s="95">
        <f>2* 1.3*1.2*2.4</f>
        <v>7.4879999999999995</v>
      </c>
      <c r="C838" s="224" t="s">
        <v>8</v>
      </c>
      <c r="D838" s="95"/>
      <c r="E838" s="95">
        <f t="shared" si="43"/>
        <v>0</v>
      </c>
      <c r="F838" s="95"/>
      <c r="G838" s="95"/>
    </row>
    <row r="839" spans="1:7">
      <c r="A839" t="s">
        <v>613</v>
      </c>
      <c r="B839" s="95">
        <f>1.3*1.2*0.12</f>
        <v>0.18720000000000001</v>
      </c>
      <c r="C839" s="224" t="s">
        <v>74</v>
      </c>
      <c r="D839" s="95"/>
      <c r="E839" s="95">
        <f t="shared" si="43"/>
        <v>0</v>
      </c>
      <c r="F839" s="95"/>
      <c r="G839" s="95"/>
    </row>
    <row r="840" spans="1:7">
      <c r="A840" t="s">
        <v>615</v>
      </c>
      <c r="B840" s="95">
        <f>2*2*1.2*2.4+1.2*1.6</f>
        <v>13.44</v>
      </c>
      <c r="C840" s="224" t="s">
        <v>8</v>
      </c>
      <c r="D840" s="95"/>
      <c r="E840" s="95">
        <f t="shared" si="43"/>
        <v>0</v>
      </c>
      <c r="F840" s="95"/>
      <c r="G840" s="95"/>
    </row>
    <row r="841" spans="1:7">
      <c r="A841" t="s">
        <v>614</v>
      </c>
      <c r="B841" s="95">
        <f>1.3*1.2</f>
        <v>1.56</v>
      </c>
      <c r="C841" s="224" t="s">
        <v>8</v>
      </c>
      <c r="D841" s="95"/>
      <c r="E841" s="95">
        <f t="shared" si="43"/>
        <v>0</v>
      </c>
      <c r="F841" s="95"/>
      <c r="G841" s="95"/>
    </row>
    <row r="842" spans="1:7">
      <c r="A842" t="s">
        <v>616</v>
      </c>
      <c r="B842" s="95">
        <f>4*2.4+2*1.6+2*1.2</f>
        <v>15.200000000000001</v>
      </c>
      <c r="C842" s="224" t="s">
        <v>278</v>
      </c>
      <c r="D842" s="95"/>
      <c r="E842" s="95">
        <f t="shared" si="43"/>
        <v>0</v>
      </c>
      <c r="F842" s="95"/>
      <c r="G842" s="95"/>
    </row>
    <row r="843" spans="1:7">
      <c r="A843" t="s">
        <v>617</v>
      </c>
      <c r="B843" s="95">
        <f>13.44+(1.4+1.6)*2</f>
        <v>19.439999999999998</v>
      </c>
      <c r="C843" s="224" t="s">
        <v>8</v>
      </c>
      <c r="D843" s="95"/>
      <c r="E843" s="95">
        <f t="shared" si="43"/>
        <v>0</v>
      </c>
      <c r="F843" s="95"/>
      <c r="G843" s="95"/>
    </row>
    <row r="844" spans="1:7" ht="15.6">
      <c r="B844" s="95"/>
      <c r="C844" s="224"/>
      <c r="D844" s="95"/>
      <c r="E844" s="532">
        <f>SUM(E835:E843)</f>
        <v>0</v>
      </c>
      <c r="F844" s="95"/>
      <c r="G844" s="95"/>
    </row>
    <row r="845" spans="1:7">
      <c r="B845" s="95"/>
      <c r="C845" s="224"/>
      <c r="D845" s="95"/>
      <c r="E845" s="95"/>
      <c r="F845" s="95"/>
      <c r="G845" s="95"/>
    </row>
    <row r="846" spans="1:7">
      <c r="B846" s="95"/>
      <c r="C846" s="224"/>
      <c r="D846" s="95"/>
      <c r="E846" s="95"/>
      <c r="F846" s="95"/>
      <c r="G846" s="95"/>
    </row>
    <row r="847" spans="1:7">
      <c r="B847" s="95"/>
      <c r="C847" s="224"/>
      <c r="D847" s="95"/>
      <c r="E847" s="95"/>
      <c r="F847" s="95"/>
      <c r="G847" s="95"/>
    </row>
    <row r="848" spans="1:7">
      <c r="A848" s="540" t="s">
        <v>631</v>
      </c>
      <c r="B848" s="545" t="s">
        <v>4</v>
      </c>
      <c r="C848" s="545" t="s">
        <v>17</v>
      </c>
      <c r="D848" s="545" t="s">
        <v>297</v>
      </c>
      <c r="E848" s="545" t="s">
        <v>459</v>
      </c>
      <c r="F848" s="545" t="s">
        <v>344</v>
      </c>
      <c r="G848" s="95"/>
    </row>
    <row r="849" spans="1:7">
      <c r="A849" s="352" t="s">
        <v>632</v>
      </c>
      <c r="B849" s="541">
        <v>0.34</v>
      </c>
      <c r="C849" s="349" t="s">
        <v>115</v>
      </c>
      <c r="D849" s="177"/>
      <c r="E849" s="542">
        <f>0.18*D849</f>
        <v>0</v>
      </c>
      <c r="F849" s="542">
        <f>B849*(D849+E849)</f>
        <v>0</v>
      </c>
      <c r="G849" s="95"/>
    </row>
    <row r="850" spans="1:7">
      <c r="A850" s="352" t="s">
        <v>619</v>
      </c>
      <c r="B850" s="541">
        <v>0.34</v>
      </c>
      <c r="C850" s="349" t="s">
        <v>115</v>
      </c>
      <c r="D850" s="177"/>
      <c r="E850" s="542">
        <f t="shared" ref="E850:E861" si="44">0.18*D850</f>
        <v>0</v>
      </c>
      <c r="F850" s="542">
        <f t="shared" ref="F850:F861" si="45">B850*(D850+E850)</f>
        <v>0</v>
      </c>
      <c r="G850" s="95"/>
    </row>
    <row r="851" spans="1:7">
      <c r="A851" s="352" t="s">
        <v>620</v>
      </c>
      <c r="B851" s="541">
        <v>0.68</v>
      </c>
      <c r="C851" s="349" t="s">
        <v>115</v>
      </c>
      <c r="D851" s="177"/>
      <c r="E851" s="542">
        <f t="shared" si="44"/>
        <v>0</v>
      </c>
      <c r="F851" s="542">
        <f t="shared" si="45"/>
        <v>0</v>
      </c>
      <c r="G851" s="95"/>
    </row>
    <row r="852" spans="1:7">
      <c r="A852" s="352" t="s">
        <v>621</v>
      </c>
      <c r="B852" s="541">
        <v>7.0000000000000007E-2</v>
      </c>
      <c r="C852" s="349" t="s">
        <v>118</v>
      </c>
      <c r="D852" s="177"/>
      <c r="E852" s="542">
        <f t="shared" si="44"/>
        <v>0</v>
      </c>
      <c r="F852" s="542">
        <f t="shared" si="45"/>
        <v>0</v>
      </c>
      <c r="G852" s="95"/>
    </row>
    <row r="853" spans="1:7">
      <c r="A853" s="352" t="s">
        <v>622</v>
      </c>
      <c r="B853" s="541">
        <v>1.02</v>
      </c>
      <c r="C853" s="349" t="s">
        <v>115</v>
      </c>
      <c r="D853" s="177"/>
      <c r="E853" s="542">
        <f t="shared" si="44"/>
        <v>0</v>
      </c>
      <c r="F853" s="542">
        <f t="shared" si="45"/>
        <v>0</v>
      </c>
      <c r="G853" s="95"/>
    </row>
    <row r="854" spans="1:7">
      <c r="A854" s="352" t="s">
        <v>623</v>
      </c>
      <c r="B854" s="541">
        <v>1.02</v>
      </c>
      <c r="C854" s="349" t="s">
        <v>115</v>
      </c>
      <c r="D854" s="177"/>
      <c r="E854" s="542">
        <f t="shared" si="44"/>
        <v>0</v>
      </c>
      <c r="F854" s="542">
        <f t="shared" si="45"/>
        <v>0</v>
      </c>
      <c r="G854" s="95"/>
    </row>
    <row r="855" spans="1:7">
      <c r="A855" s="352" t="s">
        <v>624</v>
      </c>
      <c r="B855" s="541">
        <v>0.2</v>
      </c>
      <c r="C855" s="349" t="s">
        <v>7</v>
      </c>
      <c r="D855" s="177"/>
      <c r="E855" s="542">
        <f t="shared" si="44"/>
        <v>0</v>
      </c>
      <c r="F855" s="542">
        <f t="shared" si="45"/>
        <v>0</v>
      </c>
      <c r="G855" s="95"/>
    </row>
    <row r="856" spans="1:7">
      <c r="A856" s="352" t="s">
        <v>625</v>
      </c>
      <c r="B856" s="543">
        <v>0.12</v>
      </c>
      <c r="C856" s="349" t="s">
        <v>626</v>
      </c>
      <c r="D856" s="177"/>
      <c r="E856" s="542">
        <f t="shared" si="44"/>
        <v>0</v>
      </c>
      <c r="F856" s="542">
        <f t="shared" si="45"/>
        <v>0</v>
      </c>
      <c r="G856" s="95"/>
    </row>
    <row r="857" spans="1:7">
      <c r="A857" s="352" t="s">
        <v>627</v>
      </c>
      <c r="B857" s="541">
        <v>4.0000000000000001E-3</v>
      </c>
      <c r="C857" s="349" t="s">
        <v>118</v>
      </c>
      <c r="D857" s="177"/>
      <c r="E857" s="542">
        <f t="shared" si="44"/>
        <v>0</v>
      </c>
      <c r="F857" s="542">
        <f t="shared" si="45"/>
        <v>0</v>
      </c>
      <c r="G857" s="95"/>
    </row>
    <row r="858" spans="1:7">
      <c r="A858" s="251" t="s">
        <v>340</v>
      </c>
      <c r="B858" s="541">
        <v>1.1200000000000001</v>
      </c>
      <c r="C858" s="349" t="s">
        <v>7</v>
      </c>
      <c r="D858" s="177"/>
      <c r="E858" s="542">
        <f t="shared" ref="E858" si="46">D858*0.18</f>
        <v>0</v>
      </c>
      <c r="F858" s="542">
        <f t="shared" si="45"/>
        <v>0</v>
      </c>
      <c r="G858" s="95"/>
    </row>
    <row r="859" spans="1:7">
      <c r="A859" s="352" t="s">
        <v>628</v>
      </c>
      <c r="B859" s="541">
        <v>1</v>
      </c>
      <c r="C859" s="349" t="s">
        <v>278</v>
      </c>
      <c r="D859" s="177"/>
      <c r="E859" s="542">
        <f t="shared" si="44"/>
        <v>0</v>
      </c>
      <c r="F859" s="542">
        <f t="shared" si="45"/>
        <v>0</v>
      </c>
      <c r="G859" s="95"/>
    </row>
    <row r="860" spans="1:7">
      <c r="A860" s="352" t="s">
        <v>243</v>
      </c>
      <c r="B860" s="541">
        <v>1</v>
      </c>
      <c r="C860" s="349" t="s">
        <v>630</v>
      </c>
      <c r="D860" s="177"/>
      <c r="E860" s="542">
        <f t="shared" si="44"/>
        <v>0</v>
      </c>
      <c r="F860" s="542">
        <f t="shared" si="45"/>
        <v>0</v>
      </c>
      <c r="G860" s="95"/>
    </row>
    <row r="861" spans="1:7">
      <c r="A861" s="352" t="s">
        <v>629</v>
      </c>
      <c r="B861" s="541">
        <v>1</v>
      </c>
      <c r="C861" s="349" t="s">
        <v>630</v>
      </c>
      <c r="D861" s="541"/>
      <c r="E861" s="542">
        <f t="shared" si="44"/>
        <v>0</v>
      </c>
      <c r="F861" s="542">
        <f t="shared" si="45"/>
        <v>0</v>
      </c>
      <c r="G861" s="95"/>
    </row>
    <row r="862" spans="1:7">
      <c r="A862" s="352"/>
      <c r="B862" s="541"/>
      <c r="C862" s="546" t="s">
        <v>618</v>
      </c>
      <c r="D862" s="541"/>
      <c r="E862" s="544">
        <f>SUM(E849:E861)</f>
        <v>0</v>
      </c>
      <c r="F862" s="544">
        <f>SUM(F849:F861)</f>
        <v>0</v>
      </c>
      <c r="G862" s="95"/>
    </row>
    <row r="863" spans="1:7">
      <c r="B863" s="95"/>
      <c r="C863" s="224"/>
      <c r="D863" s="95"/>
      <c r="E863" s="95"/>
      <c r="F863" s="95"/>
      <c r="G863" s="95"/>
    </row>
    <row r="864" spans="1:7">
      <c r="B864" s="95"/>
      <c r="C864" s="224"/>
      <c r="D864" s="95"/>
      <c r="E864" s="95"/>
      <c r="F864" s="95"/>
      <c r="G864" s="95"/>
    </row>
    <row r="865" spans="1:7">
      <c r="A865" s="281" t="s">
        <v>633</v>
      </c>
      <c r="B865" s="95"/>
      <c r="C865" s="224"/>
      <c r="D865" s="95"/>
      <c r="E865" s="95"/>
      <c r="F865" s="95"/>
      <c r="G865" s="95"/>
    </row>
    <row r="866" spans="1:7">
      <c r="B866" s="95"/>
      <c r="C866" s="224"/>
      <c r="D866" s="95"/>
      <c r="E866" s="95"/>
      <c r="F866" s="95"/>
      <c r="G866" s="95"/>
    </row>
    <row r="867" spans="1:7">
      <c r="A867" t="s">
        <v>634</v>
      </c>
      <c r="B867" s="95">
        <v>11</v>
      </c>
      <c r="C867" s="224" t="s">
        <v>7</v>
      </c>
      <c r="D867" s="95"/>
      <c r="E867" s="95">
        <f>B867*D867</f>
        <v>0</v>
      </c>
      <c r="F867" s="95"/>
      <c r="G867" s="95"/>
    </row>
    <row r="868" spans="1:7">
      <c r="A868" t="s">
        <v>635</v>
      </c>
      <c r="B868" s="95">
        <v>5</v>
      </c>
      <c r="C868" s="224" t="s">
        <v>7</v>
      </c>
      <c r="D868" s="95"/>
      <c r="E868" s="95">
        <f t="shared" ref="E868:E880" si="47">B868*D868</f>
        <v>0</v>
      </c>
      <c r="F868" s="95"/>
      <c r="G868" s="95"/>
    </row>
    <row r="869" spans="1:7">
      <c r="A869" t="s">
        <v>637</v>
      </c>
      <c r="B869" s="95">
        <v>21</v>
      </c>
      <c r="C869" s="224" t="s">
        <v>278</v>
      </c>
      <c r="D869" s="95"/>
      <c r="E869" s="95">
        <f t="shared" si="47"/>
        <v>0</v>
      </c>
      <c r="F869" s="95"/>
      <c r="G869" s="95"/>
    </row>
    <row r="870" spans="1:7">
      <c r="A870" t="s">
        <v>638</v>
      </c>
      <c r="B870" s="95">
        <v>25</v>
      </c>
      <c r="C870" s="224" t="s">
        <v>278</v>
      </c>
      <c r="D870" s="95"/>
      <c r="E870" s="95">
        <f t="shared" si="47"/>
        <v>0</v>
      </c>
      <c r="F870" s="95"/>
      <c r="G870" s="95"/>
    </row>
    <row r="871" spans="1:7">
      <c r="A871" t="s">
        <v>650</v>
      </c>
      <c r="B871" s="95">
        <v>1</v>
      </c>
      <c r="C871" s="224" t="s">
        <v>7</v>
      </c>
      <c r="D871" s="95"/>
      <c r="E871" s="95">
        <f t="shared" si="47"/>
        <v>0</v>
      </c>
      <c r="F871" s="95"/>
      <c r="G871" s="95"/>
    </row>
    <row r="872" spans="1:7">
      <c r="A872" t="s">
        <v>651</v>
      </c>
      <c r="B872" s="95">
        <v>4</v>
      </c>
      <c r="C872" s="224" t="s">
        <v>7</v>
      </c>
      <c r="D872" s="95"/>
      <c r="E872" s="95">
        <f t="shared" si="47"/>
        <v>0</v>
      </c>
      <c r="F872" s="95"/>
      <c r="G872" s="95"/>
    </row>
    <row r="873" spans="1:7">
      <c r="A873" t="s">
        <v>668</v>
      </c>
      <c r="B873" s="95">
        <v>1</v>
      </c>
      <c r="C873" s="224" t="s">
        <v>7</v>
      </c>
      <c r="D873" s="95"/>
      <c r="E873" s="95">
        <f t="shared" si="47"/>
        <v>0</v>
      </c>
      <c r="F873" s="95"/>
      <c r="G873" s="95"/>
    </row>
    <row r="874" spans="1:7">
      <c r="A874" t="s">
        <v>671</v>
      </c>
      <c r="B874" s="95">
        <v>1</v>
      </c>
      <c r="C874" s="224" t="s">
        <v>7</v>
      </c>
      <c r="D874" s="95"/>
      <c r="E874" s="95">
        <f t="shared" si="47"/>
        <v>0</v>
      </c>
      <c r="F874" s="95"/>
      <c r="G874" s="95"/>
    </row>
    <row r="875" spans="1:7">
      <c r="A875" t="s">
        <v>672</v>
      </c>
      <c r="B875" s="95">
        <v>2</v>
      </c>
      <c r="C875" s="224" t="s">
        <v>7</v>
      </c>
      <c r="D875" s="95"/>
      <c r="E875" s="95">
        <f t="shared" si="47"/>
        <v>0</v>
      </c>
      <c r="F875" s="95"/>
      <c r="G875" s="95"/>
    </row>
    <row r="876" spans="1:7">
      <c r="A876" t="s">
        <v>673</v>
      </c>
      <c r="B876" s="95">
        <v>1</v>
      </c>
      <c r="C876" s="224" t="s">
        <v>7</v>
      </c>
      <c r="D876" s="95"/>
      <c r="E876" s="95">
        <f t="shared" si="47"/>
        <v>0</v>
      </c>
      <c r="F876" s="95"/>
      <c r="G876" s="95"/>
    </row>
    <row r="877" spans="1:7">
      <c r="A877" t="s">
        <v>675</v>
      </c>
      <c r="B877" s="95">
        <v>4</v>
      </c>
      <c r="C877" s="224" t="s">
        <v>7</v>
      </c>
      <c r="D877" s="95"/>
      <c r="E877" s="95">
        <f t="shared" si="47"/>
        <v>0</v>
      </c>
      <c r="F877" s="95"/>
      <c r="G877" s="95"/>
    </row>
    <row r="878" spans="1:7">
      <c r="A878" t="s">
        <v>676</v>
      </c>
      <c r="B878" s="95">
        <v>1</v>
      </c>
      <c r="C878" s="224" t="s">
        <v>7</v>
      </c>
      <c r="D878" s="95"/>
      <c r="E878" s="95">
        <f t="shared" si="47"/>
        <v>0</v>
      </c>
      <c r="F878" s="95"/>
      <c r="G878" s="95"/>
    </row>
    <row r="879" spans="1:7">
      <c r="A879" t="s">
        <v>713</v>
      </c>
      <c r="B879" s="95">
        <v>1</v>
      </c>
      <c r="C879" s="224" t="s">
        <v>7</v>
      </c>
      <c r="D879" s="95"/>
      <c r="E879" s="95">
        <f t="shared" si="47"/>
        <v>0</v>
      </c>
      <c r="F879" s="95"/>
      <c r="G879" s="95"/>
    </row>
    <row r="880" spans="1:7">
      <c r="A880" t="s">
        <v>677</v>
      </c>
      <c r="B880" s="95">
        <v>1</v>
      </c>
      <c r="C880" s="224" t="s">
        <v>107</v>
      </c>
      <c r="D880" s="95"/>
      <c r="E880" s="95">
        <f t="shared" si="47"/>
        <v>0</v>
      </c>
      <c r="F880" s="95"/>
      <c r="G880" s="95"/>
    </row>
    <row r="881" spans="1:7">
      <c r="B881" s="95"/>
      <c r="C881" s="224"/>
      <c r="D881" s="95"/>
      <c r="E881" s="95">
        <f>SUM(E867:E880)</f>
        <v>0</v>
      </c>
      <c r="F881" s="95"/>
      <c r="G881" s="95"/>
    </row>
    <row r="882" spans="1:7">
      <c r="B882" s="95"/>
      <c r="C882" s="224"/>
      <c r="D882" s="95"/>
      <c r="E882" s="95"/>
      <c r="F882" s="95"/>
      <c r="G882" s="95"/>
    </row>
    <row r="883" spans="1:7">
      <c r="B883" s="95"/>
      <c r="C883" s="224"/>
      <c r="D883" s="95"/>
      <c r="E883" s="95"/>
      <c r="F883" s="95"/>
      <c r="G883" s="95"/>
    </row>
    <row r="884" spans="1:7">
      <c r="A884" t="s">
        <v>224</v>
      </c>
      <c r="B884" s="95"/>
      <c r="C884" s="224"/>
      <c r="D884" s="95"/>
      <c r="E884" s="95"/>
      <c r="F884" s="95"/>
      <c r="G884" s="95"/>
    </row>
    <row r="885" spans="1:7">
      <c r="A885" t="s">
        <v>659</v>
      </c>
      <c r="B885" s="95">
        <v>1</v>
      </c>
      <c r="C885" s="224" t="s">
        <v>115</v>
      </c>
      <c r="D885" s="95"/>
      <c r="E885" s="95"/>
      <c r="F885" s="95"/>
      <c r="G885" s="95"/>
    </row>
    <row r="886" spans="1:7">
      <c r="A886" t="s">
        <v>660</v>
      </c>
      <c r="B886" s="95">
        <v>4</v>
      </c>
      <c r="C886" s="224" t="s">
        <v>115</v>
      </c>
      <c r="D886" s="95"/>
      <c r="E886" s="95"/>
      <c r="F886" s="95"/>
      <c r="G886" s="95"/>
    </row>
    <row r="887" spans="1:7">
      <c r="A887" t="s">
        <v>639</v>
      </c>
      <c r="B887" s="95">
        <v>4</v>
      </c>
      <c r="C887" s="224" t="s">
        <v>115</v>
      </c>
      <c r="D887" s="95"/>
      <c r="E887" s="95"/>
      <c r="F887" s="95"/>
      <c r="G887" s="95"/>
    </row>
    <row r="888" spans="1:7">
      <c r="A888" t="s">
        <v>661</v>
      </c>
      <c r="B888" s="95">
        <v>3</v>
      </c>
      <c r="C888" s="224" t="s">
        <v>7</v>
      </c>
      <c r="D888" s="95"/>
      <c r="E888" s="95"/>
      <c r="F888" s="95"/>
      <c r="G888" s="95"/>
    </row>
    <row r="889" spans="1:7">
      <c r="A889" t="s">
        <v>662</v>
      </c>
      <c r="B889" s="95">
        <v>6</v>
      </c>
      <c r="C889" s="224" t="s">
        <v>115</v>
      </c>
      <c r="D889" s="95"/>
      <c r="E889" s="95"/>
      <c r="F889" s="95"/>
      <c r="G889" s="95"/>
    </row>
    <row r="890" spans="1:7">
      <c r="A890" t="s">
        <v>586</v>
      </c>
      <c r="B890" s="95">
        <v>1</v>
      </c>
      <c r="C890" s="224" t="s">
        <v>115</v>
      </c>
      <c r="D890" s="95"/>
      <c r="E890" s="95"/>
      <c r="F890" s="95"/>
      <c r="G890" s="95"/>
    </row>
    <row r="891" spans="1:7">
      <c r="A891" t="s">
        <v>640</v>
      </c>
      <c r="B891" s="95">
        <v>2</v>
      </c>
      <c r="C891" s="224" t="s">
        <v>115</v>
      </c>
      <c r="D891" s="95"/>
      <c r="E891" s="95"/>
      <c r="F891" s="95"/>
      <c r="G891" s="95"/>
    </row>
    <row r="892" spans="1:7">
      <c r="A892" t="s">
        <v>652</v>
      </c>
      <c r="B892" s="95">
        <v>4</v>
      </c>
      <c r="C892" s="224" t="s">
        <v>115</v>
      </c>
      <c r="D892" s="95"/>
      <c r="E892" s="95"/>
      <c r="F892" s="95"/>
      <c r="G892" s="95"/>
    </row>
    <row r="893" spans="1:7">
      <c r="A893" t="s">
        <v>653</v>
      </c>
      <c r="B893" s="95">
        <v>4</v>
      </c>
      <c r="C893" s="224" t="s">
        <v>115</v>
      </c>
      <c r="D893" s="95"/>
      <c r="E893" s="95"/>
      <c r="F893" s="95"/>
      <c r="G893" s="95"/>
    </row>
    <row r="894" spans="1:7">
      <c r="A894" t="s">
        <v>663</v>
      </c>
      <c r="B894" s="95">
        <v>4</v>
      </c>
      <c r="C894" s="224" t="s">
        <v>115</v>
      </c>
      <c r="D894" s="95"/>
      <c r="E894" s="95"/>
      <c r="F894" s="95"/>
      <c r="G894" s="95"/>
    </row>
    <row r="895" spans="1:7">
      <c r="A895" t="s">
        <v>654</v>
      </c>
      <c r="B895" s="95">
        <v>4</v>
      </c>
      <c r="C895" s="224" t="s">
        <v>115</v>
      </c>
      <c r="D895" s="95"/>
      <c r="E895" s="95"/>
      <c r="F895" s="95"/>
      <c r="G895" s="95"/>
    </row>
    <row r="896" spans="1:7">
      <c r="A896" t="s">
        <v>655</v>
      </c>
      <c r="B896" s="95">
        <v>4</v>
      </c>
      <c r="C896" s="224" t="s">
        <v>115</v>
      </c>
      <c r="D896" s="95"/>
      <c r="E896" s="95"/>
      <c r="F896" s="95"/>
      <c r="G896" s="95"/>
    </row>
    <row r="897" spans="1:7">
      <c r="A897" t="s">
        <v>656</v>
      </c>
      <c r="B897" s="95">
        <v>2</v>
      </c>
      <c r="C897" s="224" t="s">
        <v>324</v>
      </c>
      <c r="D897" s="95"/>
      <c r="E897" s="95"/>
      <c r="F897" s="95"/>
      <c r="G897" s="95"/>
    </row>
    <row r="898" spans="1:7">
      <c r="A898" t="s">
        <v>657</v>
      </c>
      <c r="B898" s="95">
        <v>2</v>
      </c>
      <c r="C898" s="224" t="s">
        <v>7</v>
      </c>
      <c r="D898" s="95"/>
      <c r="E898" s="95"/>
      <c r="F898" s="95"/>
      <c r="G898" s="95"/>
    </row>
    <row r="899" spans="1:7">
      <c r="A899" t="s">
        <v>658</v>
      </c>
      <c r="B899" s="95">
        <v>1</v>
      </c>
      <c r="C899" s="224" t="s">
        <v>115</v>
      </c>
      <c r="D899" s="95"/>
      <c r="E899" s="95"/>
      <c r="F899" s="95"/>
      <c r="G899" s="95"/>
    </row>
    <row r="900" spans="1:7">
      <c r="A900" t="s">
        <v>664</v>
      </c>
      <c r="B900" s="95">
        <v>1</v>
      </c>
      <c r="C900" s="224" t="s">
        <v>7</v>
      </c>
      <c r="D900" s="95"/>
      <c r="E900" s="95"/>
      <c r="F900" s="95"/>
      <c r="G900" s="95"/>
    </row>
    <row r="901" spans="1:7">
      <c r="A901" t="s">
        <v>665</v>
      </c>
      <c r="B901" s="95">
        <v>1</v>
      </c>
      <c r="C901" s="224" t="s">
        <v>107</v>
      </c>
      <c r="D901" s="95"/>
      <c r="E901" s="95"/>
      <c r="F901" s="95"/>
      <c r="G901" s="95"/>
    </row>
    <row r="902" spans="1:7">
      <c r="B902" s="95"/>
      <c r="C902" s="224"/>
      <c r="D902" s="95"/>
      <c r="E902" s="95"/>
      <c r="F902" s="95"/>
      <c r="G902" s="95"/>
    </row>
    <row r="903" spans="1:7">
      <c r="B903" s="95"/>
      <c r="C903" s="224"/>
      <c r="D903" s="95"/>
      <c r="E903" s="95"/>
      <c r="F903" s="95"/>
      <c r="G903" s="95"/>
    </row>
    <row r="904" spans="1:7">
      <c r="B904" s="95"/>
      <c r="C904" s="224"/>
      <c r="D904" s="95"/>
      <c r="E904" s="95"/>
      <c r="F904" s="95"/>
      <c r="G904" s="95"/>
    </row>
    <row r="905" spans="1:7">
      <c r="B905" s="95"/>
      <c r="C905" s="224"/>
      <c r="D905" s="95"/>
      <c r="E905" s="95"/>
      <c r="F905" s="95"/>
      <c r="G905" s="95"/>
    </row>
    <row r="906" spans="1:7">
      <c r="B906" s="95"/>
      <c r="C906" s="224"/>
      <c r="D906" s="95"/>
      <c r="E906" s="95"/>
      <c r="F906" s="95"/>
      <c r="G906" s="95"/>
    </row>
    <row r="907" spans="1:7">
      <c r="B907" s="95"/>
      <c r="C907" s="224"/>
      <c r="D907" s="95"/>
      <c r="E907" s="95"/>
      <c r="F907" s="95"/>
      <c r="G907" s="95"/>
    </row>
    <row r="908" spans="1:7">
      <c r="B908" s="95"/>
      <c r="C908" s="224"/>
      <c r="D908" s="95"/>
      <c r="E908" s="95"/>
      <c r="F908" s="95"/>
      <c r="G908" s="95"/>
    </row>
    <row r="909" spans="1:7">
      <c r="B909" s="95"/>
      <c r="C909" s="224"/>
      <c r="D909" s="95"/>
      <c r="E909" s="95"/>
      <c r="F909" s="95"/>
      <c r="G909" s="95"/>
    </row>
    <row r="910" spans="1:7">
      <c r="B910" s="95"/>
      <c r="C910" s="224"/>
      <c r="D910" s="95"/>
      <c r="E910" s="95"/>
      <c r="F910" s="95"/>
      <c r="G910" s="95"/>
    </row>
    <row r="911" spans="1:7">
      <c r="B911" s="95"/>
      <c r="C911" s="224"/>
      <c r="D911" s="95"/>
      <c r="E911" s="95"/>
      <c r="F911" s="95"/>
      <c r="G911" s="95"/>
    </row>
    <row r="912" spans="1:7">
      <c r="B912" s="95"/>
      <c r="C912" s="224"/>
      <c r="D912" s="95"/>
      <c r="E912" s="95"/>
      <c r="F912" s="95"/>
      <c r="G912" s="95"/>
    </row>
    <row r="913" spans="2:7">
      <c r="B913" s="95"/>
      <c r="C913" s="224"/>
      <c r="D913" s="95"/>
      <c r="E913" s="95"/>
      <c r="F913" s="95"/>
      <c r="G913" s="95"/>
    </row>
    <row r="914" spans="2:7">
      <c r="B914" s="95"/>
      <c r="C914" s="224"/>
      <c r="D914" s="95"/>
      <c r="E914" s="95"/>
      <c r="F914" s="95"/>
      <c r="G914" s="95"/>
    </row>
    <row r="915" spans="2:7">
      <c r="B915" s="95"/>
      <c r="C915" s="224"/>
      <c r="D915" s="95"/>
      <c r="E915" s="95"/>
      <c r="F915" s="95"/>
      <c r="G915" s="95"/>
    </row>
    <row r="916" spans="2:7">
      <c r="B916" s="95"/>
      <c r="C916" s="224"/>
      <c r="D916" s="95"/>
      <c r="E916" s="95"/>
      <c r="F916" s="95"/>
      <c r="G916" s="95"/>
    </row>
    <row r="917" spans="2:7">
      <c r="B917" s="95"/>
      <c r="C917" s="224"/>
      <c r="D917" s="95"/>
      <c r="E917" s="95"/>
      <c r="F917" s="95"/>
      <c r="G917" s="95"/>
    </row>
    <row r="918" spans="2:7">
      <c r="B918" s="95"/>
      <c r="C918" s="224"/>
      <c r="D918" s="95"/>
      <c r="E918" s="95"/>
      <c r="F918" s="95"/>
      <c r="G918" s="95"/>
    </row>
    <row r="919" spans="2:7">
      <c r="B919" s="95"/>
      <c r="C919" s="224"/>
      <c r="D919" s="95"/>
      <c r="E919" s="95"/>
      <c r="F919" s="95"/>
      <c r="G919" s="95"/>
    </row>
    <row r="920" spans="2:7">
      <c r="B920" s="95"/>
      <c r="C920" s="224"/>
      <c r="D920" s="95"/>
      <c r="E920" s="95"/>
      <c r="F920" s="95"/>
      <c r="G920" s="95"/>
    </row>
    <row r="921" spans="2:7">
      <c r="B921" s="95"/>
      <c r="C921" s="224"/>
      <c r="D921" s="95"/>
      <c r="E921" s="95"/>
      <c r="F921" s="95"/>
      <c r="G921" s="95"/>
    </row>
    <row r="922" spans="2:7">
      <c r="B922" s="95"/>
      <c r="C922" s="224"/>
      <c r="D922" s="95"/>
      <c r="E922" s="95"/>
      <c r="F922" s="95"/>
      <c r="G922" s="95"/>
    </row>
    <row r="923" spans="2:7">
      <c r="B923" s="95"/>
      <c r="C923" s="224"/>
      <c r="D923" s="95"/>
      <c r="E923" s="95"/>
      <c r="F923" s="95"/>
      <c r="G923" s="95"/>
    </row>
    <row r="924" spans="2:7">
      <c r="B924" s="95"/>
      <c r="C924" s="224"/>
      <c r="D924" s="95"/>
      <c r="E924" s="95"/>
      <c r="F924" s="95"/>
      <c r="G924" s="95"/>
    </row>
    <row r="925" spans="2:7">
      <c r="B925" s="95"/>
      <c r="C925" s="224"/>
      <c r="D925" s="95"/>
      <c r="E925" s="95"/>
      <c r="F925" s="95"/>
      <c r="G925" s="95"/>
    </row>
    <row r="926" spans="2:7">
      <c r="B926" s="95"/>
      <c r="C926" s="224"/>
      <c r="D926" s="95"/>
      <c r="E926" s="95"/>
      <c r="F926" s="95"/>
      <c r="G926" s="95"/>
    </row>
    <row r="927" spans="2:7">
      <c r="B927" s="95"/>
      <c r="C927" s="224"/>
      <c r="D927" s="95"/>
      <c r="E927" s="95"/>
      <c r="F927" s="95"/>
      <c r="G927" s="95"/>
    </row>
    <row r="928" spans="2:7">
      <c r="B928" s="95"/>
      <c r="C928" s="224"/>
      <c r="D928" s="95"/>
      <c r="E928" s="95"/>
      <c r="F928" s="95"/>
      <c r="G928" s="95"/>
    </row>
    <row r="929" spans="1:7">
      <c r="B929" s="95"/>
      <c r="C929" s="224"/>
      <c r="D929" s="95"/>
      <c r="E929" s="95"/>
      <c r="F929" s="95"/>
      <c r="G929" s="95"/>
    </row>
    <row r="930" spans="1:7">
      <c r="A930" s="281" t="s">
        <v>642</v>
      </c>
      <c r="B930" s="95"/>
      <c r="C930" s="224"/>
      <c r="D930" s="95"/>
      <c r="E930" s="95"/>
      <c r="F930" s="95"/>
      <c r="G930" s="95"/>
    </row>
    <row r="931" spans="1:7">
      <c r="A931" t="s">
        <v>643</v>
      </c>
      <c r="B931" s="95">
        <v>1</v>
      </c>
      <c r="C931" s="224" t="s">
        <v>7</v>
      </c>
      <c r="D931" s="95"/>
      <c r="E931" s="95">
        <f>B931*D931</f>
        <v>0</v>
      </c>
      <c r="F931" s="95"/>
      <c r="G931" s="95"/>
    </row>
    <row r="932" spans="1:7">
      <c r="A932" t="s">
        <v>644</v>
      </c>
      <c r="B932" s="95">
        <v>1</v>
      </c>
      <c r="C932" s="224" t="s">
        <v>7</v>
      </c>
      <c r="D932" s="95"/>
      <c r="E932" s="95">
        <f t="shared" ref="E932:E936" si="48">B932*D932</f>
        <v>0</v>
      </c>
      <c r="F932" s="95"/>
      <c r="G932" s="95"/>
    </row>
    <row r="933" spans="1:7">
      <c r="A933" t="s">
        <v>647</v>
      </c>
      <c r="B933" s="95">
        <v>22</v>
      </c>
      <c r="C933" s="224" t="s">
        <v>7</v>
      </c>
      <c r="D933" s="95"/>
      <c r="E933" s="95">
        <f t="shared" si="48"/>
        <v>0</v>
      </c>
      <c r="F933" s="95"/>
      <c r="G933" s="95"/>
    </row>
    <row r="934" spans="1:7">
      <c r="A934" t="s">
        <v>243</v>
      </c>
      <c r="B934" s="95">
        <v>1</v>
      </c>
      <c r="C934" s="224" t="s">
        <v>107</v>
      </c>
      <c r="D934" s="95"/>
      <c r="E934" s="95">
        <f t="shared" si="48"/>
        <v>0</v>
      </c>
      <c r="F934" s="95"/>
      <c r="G934" s="95"/>
    </row>
    <row r="935" spans="1:7">
      <c r="A935" t="s">
        <v>646</v>
      </c>
      <c r="B935" s="95">
        <v>1</v>
      </c>
      <c r="C935" s="224" t="s">
        <v>107</v>
      </c>
      <c r="D935" s="95"/>
      <c r="E935" s="95">
        <f t="shared" si="48"/>
        <v>0</v>
      </c>
      <c r="F935" s="95"/>
      <c r="G935" s="95"/>
    </row>
    <row r="936" spans="1:7">
      <c r="A936" t="s">
        <v>645</v>
      </c>
      <c r="B936" s="95">
        <v>1</v>
      </c>
      <c r="C936" s="224" t="s">
        <v>7</v>
      </c>
      <c r="D936" s="95"/>
      <c r="E936" s="95">
        <f t="shared" si="48"/>
        <v>0</v>
      </c>
      <c r="F936" s="95"/>
      <c r="G936" s="95"/>
    </row>
    <row r="937" spans="1:7">
      <c r="B937" s="95"/>
      <c r="C937" s="224"/>
      <c r="D937" s="95"/>
      <c r="E937" s="95">
        <f>SUM(E931:E936)</f>
        <v>0</v>
      </c>
      <c r="F937" s="95"/>
      <c r="G937" s="95"/>
    </row>
    <row r="938" spans="1:7">
      <c r="B938" s="95"/>
      <c r="C938" s="224"/>
      <c r="D938" s="95"/>
      <c r="E938" s="95"/>
      <c r="F938" s="95"/>
      <c r="G938" s="95"/>
    </row>
    <row r="939" spans="1:7">
      <c r="B939" s="95"/>
      <c r="C939" s="224"/>
      <c r="D939" s="95"/>
      <c r="E939" s="95"/>
      <c r="F939" s="95"/>
      <c r="G939" s="95"/>
    </row>
    <row r="940" spans="1:7">
      <c r="B940" s="95"/>
      <c r="C940" s="224"/>
      <c r="D940" s="95"/>
      <c r="E940" s="95"/>
      <c r="F940" s="95"/>
      <c r="G940" s="95"/>
    </row>
    <row r="941" spans="1:7">
      <c r="B941" s="95"/>
      <c r="C941" s="224"/>
      <c r="D941" s="95"/>
      <c r="E941" s="95"/>
      <c r="F941" s="95"/>
      <c r="G941" s="95"/>
    </row>
  </sheetData>
  <mergeCells count="60">
    <mergeCell ref="A834:B834"/>
    <mergeCell ref="A176:F176"/>
    <mergeCell ref="A191:F191"/>
    <mergeCell ref="A768:F768"/>
    <mergeCell ref="A325:F325"/>
    <mergeCell ref="A554:F554"/>
    <mergeCell ref="A568:F568"/>
    <mergeCell ref="A347:F347"/>
    <mergeCell ref="A756:F756"/>
    <mergeCell ref="A762:F762"/>
    <mergeCell ref="A367:F367"/>
    <mergeCell ref="A386:F386"/>
    <mergeCell ref="A714:F714"/>
    <mergeCell ref="A720:F720"/>
    <mergeCell ref="A664:F664"/>
    <mergeCell ref="A750:F750"/>
    <mergeCell ref="A198:F198"/>
    <mergeCell ref="A511:F511"/>
    <mergeCell ref="A544:F544"/>
    <mergeCell ref="A110:F110"/>
    <mergeCell ref="A119:F119"/>
    <mergeCell ref="A126:F126"/>
    <mergeCell ref="A134:F134"/>
    <mergeCell ref="A139:F139"/>
    <mergeCell ref="A182:F182"/>
    <mergeCell ref="A144:F144"/>
    <mergeCell ref="A149:F149"/>
    <mergeCell ref="A161:F161"/>
    <mergeCell ref="A155:F155"/>
    <mergeCell ref="A171:F171"/>
    <mergeCell ref="A251:F251"/>
    <mergeCell ref="A12:F12"/>
    <mergeCell ref="A24:F24"/>
    <mergeCell ref="A38:F38"/>
    <mergeCell ref="A14:F14"/>
    <mergeCell ref="A57:F57"/>
    <mergeCell ref="A31:F31"/>
    <mergeCell ref="A19:F19"/>
    <mergeCell ref="A48:F48"/>
    <mergeCell ref="A67:F67"/>
    <mergeCell ref="A166:F166"/>
    <mergeCell ref="A738:F738"/>
    <mergeCell ref="A732:F732"/>
    <mergeCell ref="A744:F744"/>
    <mergeCell ref="A726:F726"/>
    <mergeCell ref="A656:F656"/>
    <mergeCell ref="A690:F690"/>
    <mergeCell ref="A696:F696"/>
    <mergeCell ref="A702:F702"/>
    <mergeCell ref="A708:F708"/>
    <mergeCell ref="A678:F678"/>
    <mergeCell ref="A684:F684"/>
    <mergeCell ref="A672:F672"/>
    <mergeCell ref="A204:F204"/>
    <mergeCell ref="A315:F315"/>
    <mergeCell ref="A577:F577"/>
    <mergeCell ref="A585:F585"/>
    <mergeCell ref="A302:C302"/>
    <mergeCell ref="A331:F331"/>
    <mergeCell ref="A560:F560"/>
  </mergeCells>
  <conditionalFormatting sqref="A577 A578:E578">
    <cfRule type="containsBlanks" dxfId="10" priority="4">
      <formula>LEN(TRIM(A577))=0</formula>
    </cfRule>
  </conditionalFormatting>
  <conditionalFormatting sqref="A556:F557">
    <cfRule type="containsBlanks" dxfId="9" priority="37">
      <formula>LEN(TRIM(A556))=0</formula>
    </cfRule>
  </conditionalFormatting>
  <conditionalFormatting sqref="A562:F564">
    <cfRule type="containsBlanks" dxfId="8" priority="23">
      <formula>LEN(TRIM(A562))=0</formula>
    </cfRule>
  </conditionalFormatting>
  <conditionalFormatting sqref="A570:F571">
    <cfRule type="containsBlanks" dxfId="7" priority="34">
      <formula>LEN(TRIM(A570))=0</formula>
    </cfRule>
  </conditionalFormatting>
  <conditionalFormatting sqref="A579:F582 A585 A586:E586 A587:F592 A604:F604 A616:F616 A628:F628 A643:F643 A655:F655">
    <cfRule type="containsBlanks" dxfId="6" priority="29">
      <formula>LEN(TRIM(A579))=0</formula>
    </cfRule>
  </conditionalFormatting>
  <conditionalFormatting sqref="D74:D83">
    <cfRule type="cellIs" priority="21" operator="greaterThan">
      <formula>k</formula>
    </cfRule>
  </conditionalFormatting>
  <conditionalFormatting sqref="D85:D95">
    <cfRule type="cellIs" priority="19" operator="greaterThan">
      <formula>k</formula>
    </cfRule>
  </conditionalFormatting>
  <conditionalFormatting sqref="D100">
    <cfRule type="cellIs" priority="22" operator="greaterThan">
      <formula>k</formula>
    </cfRule>
  </conditionalFormatting>
  <conditionalFormatting sqref="D106">
    <cfRule type="cellIs" priority="17" operator="greaterThan">
      <formula>k</formula>
    </cfRule>
  </conditionalFormatting>
  <conditionalFormatting sqref="D213:D222">
    <cfRule type="cellIs" priority="12" operator="greaterThan">
      <formula>k</formula>
    </cfRule>
  </conditionalFormatting>
  <conditionalFormatting sqref="D227">
    <cfRule type="cellIs" priority="15" operator="greaterThan">
      <formula>k</formula>
    </cfRule>
  </conditionalFormatting>
  <conditionalFormatting sqref="D383:D384">
    <cfRule type="cellIs" priority="7" operator="greaterThan">
      <formula>k</formula>
    </cfRule>
  </conditionalFormatting>
  <conditionalFormatting sqref="D405:D406">
    <cfRule type="cellIs" priority="6" operator="greaterThan">
      <formula>k</formula>
    </cfRule>
  </conditionalFormatting>
  <conditionalFormatting sqref="D421:D422">
    <cfRule type="cellIs" priority="2" operator="greaterThan">
      <formula>k</formula>
    </cfRule>
  </conditionalFormatting>
  <conditionalFormatting sqref="D424">
    <cfRule type="cellIs" priority="1" operator="greaterThan">
      <formula>k</formula>
    </cfRule>
  </conditionalFormatting>
  <conditionalFormatting sqref="D815:D816">
    <cfRule type="cellIs" priority="3" operator="greaterThan">
      <formula>k</formula>
    </cfRule>
  </conditionalFormatting>
  <conditionalFormatting sqref="E386:F387">
    <cfRule type="containsBlanks" dxfId="5" priority="5">
      <formula>LEN(TRIM(E386))=0</formula>
    </cfRule>
  </conditionalFormatting>
  <conditionalFormatting sqref="E554:F554">
    <cfRule type="containsBlanks" dxfId="4" priority="38">
      <formula>LEN(TRIM(E554))=0</formula>
    </cfRule>
  </conditionalFormatting>
  <conditionalFormatting sqref="E559:F560">
    <cfRule type="containsBlanks" dxfId="3" priority="24">
      <formula>LEN(TRIM(E559))=0</formula>
    </cfRule>
  </conditionalFormatting>
  <conditionalFormatting sqref="E566:F566">
    <cfRule type="containsBlanks" dxfId="2" priority="25">
      <formula>LEN(TRIM(E566))=0</formula>
    </cfRule>
  </conditionalFormatting>
  <conditionalFormatting sqref="E568:F568">
    <cfRule type="containsBlanks" dxfId="1" priority="35">
      <formula>LEN(TRIM(E568))=0</formula>
    </cfRule>
  </conditionalFormatting>
  <conditionalFormatting sqref="E573:F574">
    <cfRule type="containsBlanks" dxfId="0" priority="36">
      <formula>LEN(TRIM(E573))=0</formula>
    </cfRule>
  </conditionalFormatting>
  <dataValidations count="1">
    <dataValidation type="list" allowBlank="1" showInputMessage="1" showErrorMessage="1" sqref="A89:A94 A84:A86 A216:A221 A212:A214 A296:A298 A286 A288:A294 A313 A301" xr:uid="{00000000-0002-0000-0100-000000000000}">
      <formula1>"Capítulo,Partida,Mano de obra,Maquinaria,Material,Otros,"</formula1>
    </dataValidation>
  </dataValidations>
  <pageMargins left="0.7" right="0.7" top="0.75" bottom="0.75" header="0.3" footer="0.3"/>
  <pageSetup scale="71" fitToHeight="0" orientation="portrait" r:id="rId1"/>
  <rowBreaks count="19" manualBreakCount="19">
    <brk id="56" max="6" man="1"/>
    <brk id="102" max="6" man="1"/>
    <brk id="148" max="6" man="1"/>
    <brk id="203" max="6" man="1"/>
    <brk id="215" max="6" man="1"/>
    <brk id="255" max="6" man="1"/>
    <brk id="302" max="6" man="1"/>
    <brk id="313" max="6" man="1"/>
    <brk id="346" max="16383" man="1"/>
    <brk id="393" max="6" man="1"/>
    <brk id="483" max="6" man="1"/>
    <brk id="530" max="6" man="1"/>
    <brk id="591" max="6" man="1"/>
    <brk id="637" max="6" man="1"/>
    <brk id="760" max="6" man="1"/>
    <brk id="781" max="6" man="1"/>
    <brk id="833" max="6" man="1"/>
    <brk id="883" max="6" man="1"/>
    <brk id="929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12"/>
  <sheetViews>
    <sheetView workbookViewId="0">
      <selection activeCell="C11" sqref="C11"/>
    </sheetView>
  </sheetViews>
  <sheetFormatPr baseColWidth="10" defaultRowHeight="14.4"/>
  <cols>
    <col min="2" max="2" width="52.109375" customWidth="1"/>
    <col min="3" max="4" width="12.33203125" customWidth="1"/>
  </cols>
  <sheetData>
    <row r="3" spans="2:5">
      <c r="B3" s="100" t="s">
        <v>316</v>
      </c>
      <c r="C3" s="101">
        <v>538</v>
      </c>
      <c r="D3" s="102" t="s">
        <v>17</v>
      </c>
      <c r="E3" s="101"/>
    </row>
    <row r="4" spans="2:5">
      <c r="B4" s="100" t="s">
        <v>126</v>
      </c>
      <c r="C4" s="101">
        <v>250</v>
      </c>
      <c r="D4" s="102" t="s">
        <v>17</v>
      </c>
      <c r="E4" s="101"/>
    </row>
    <row r="5" spans="2:5">
      <c r="B5" s="100" t="s">
        <v>127</v>
      </c>
      <c r="C5" s="101">
        <v>250</v>
      </c>
      <c r="D5" s="102" t="s">
        <v>17</v>
      </c>
      <c r="E5" s="101"/>
    </row>
    <row r="6" spans="2:5">
      <c r="B6" s="100" t="s">
        <v>128</v>
      </c>
      <c r="C6" s="101">
        <v>45</v>
      </c>
      <c r="D6" s="102" t="s">
        <v>17</v>
      </c>
      <c r="E6" s="101"/>
    </row>
    <row r="7" spans="2:5">
      <c r="B7" s="100" t="s">
        <v>129</v>
      </c>
      <c r="C7" s="101">
        <v>20</v>
      </c>
      <c r="D7" s="102" t="s">
        <v>17</v>
      </c>
      <c r="E7" s="101"/>
    </row>
    <row r="8" spans="2:5">
      <c r="B8" s="100" t="s">
        <v>130</v>
      </c>
      <c r="C8" s="101">
        <v>2</v>
      </c>
      <c r="D8" s="102" t="s">
        <v>131</v>
      </c>
      <c r="E8" s="101"/>
    </row>
    <row r="9" spans="2:5">
      <c r="B9" s="100" t="s">
        <v>315</v>
      </c>
      <c r="C9" s="154">
        <v>1</v>
      </c>
      <c r="D9" s="155" t="s">
        <v>135</v>
      </c>
      <c r="E9" s="101"/>
    </row>
    <row r="10" spans="2:5">
      <c r="B10" s="100" t="s">
        <v>132</v>
      </c>
      <c r="C10" s="101">
        <v>140</v>
      </c>
      <c r="D10" s="102" t="s">
        <v>17</v>
      </c>
      <c r="E10" s="101"/>
    </row>
    <row r="11" spans="2:5">
      <c r="B11" s="100" t="s">
        <v>133</v>
      </c>
      <c r="C11" s="101">
        <v>140</v>
      </c>
      <c r="D11" s="102" t="s">
        <v>17</v>
      </c>
      <c r="E11" s="101"/>
    </row>
    <row r="12" spans="2:5">
      <c r="B12" s="100" t="s">
        <v>134</v>
      </c>
      <c r="C12" s="101">
        <v>10</v>
      </c>
      <c r="D12" s="102" t="s">
        <v>135</v>
      </c>
      <c r="E12" s="10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556"/>
  <sheetViews>
    <sheetView topLeftCell="A83" workbookViewId="0">
      <selection activeCell="B70" sqref="B70"/>
    </sheetView>
  </sheetViews>
  <sheetFormatPr baseColWidth="10" defaultRowHeight="14.4"/>
  <cols>
    <col min="2" max="2" width="71.6640625" customWidth="1"/>
    <col min="3" max="3" width="12" customWidth="1"/>
  </cols>
  <sheetData>
    <row r="2" spans="2:9" ht="15.6">
      <c r="B2" s="223" t="s">
        <v>231</v>
      </c>
    </row>
    <row r="4" spans="2:9">
      <c r="B4" t="s">
        <v>233</v>
      </c>
      <c r="C4" s="95">
        <f>3.4*1.13+4.09*0.9</f>
        <v>7.5229999999999997</v>
      </c>
      <c r="D4" s="22" t="s">
        <v>8</v>
      </c>
    </row>
    <row r="5" spans="2:9">
      <c r="B5" t="s">
        <v>232</v>
      </c>
      <c r="C5" s="95">
        <f>(3.4+1.13)*0.9+(4.09+2*0.9)*0.88</f>
        <v>9.2601999999999993</v>
      </c>
      <c r="D5" s="224" t="s">
        <v>8</v>
      </c>
      <c r="E5" s="95"/>
      <c r="F5" s="95"/>
      <c r="G5" s="95"/>
      <c r="H5" s="95"/>
      <c r="I5" s="95"/>
    </row>
    <row r="6" spans="2:9">
      <c r="B6" t="s">
        <v>234</v>
      </c>
      <c r="C6" s="95">
        <v>2</v>
      </c>
      <c r="D6" s="224" t="s">
        <v>7</v>
      </c>
      <c r="E6" s="95"/>
      <c r="F6" s="95"/>
      <c r="G6" s="95"/>
      <c r="H6" s="95"/>
      <c r="I6" s="95"/>
    </row>
    <row r="7" spans="2:9">
      <c r="B7" t="s">
        <v>239</v>
      </c>
      <c r="C7" s="95">
        <f>(9.26+((3.4+4.09))*0.15+(((3+4)))*0.2*0.85)*1.3</f>
        <v>15.045549999999999</v>
      </c>
      <c r="D7" s="224" t="s">
        <v>8</v>
      </c>
      <c r="E7" s="95"/>
      <c r="F7" s="95"/>
      <c r="G7" s="95"/>
      <c r="H7" s="95"/>
      <c r="I7" s="95"/>
    </row>
    <row r="8" spans="2:9">
      <c r="C8" s="95"/>
      <c r="D8" s="224"/>
      <c r="E8" s="95"/>
      <c r="F8" s="95"/>
      <c r="G8" s="95"/>
      <c r="H8" s="95"/>
      <c r="I8" s="95"/>
    </row>
    <row r="9" spans="2:9">
      <c r="B9" t="s">
        <v>245</v>
      </c>
      <c r="C9" s="95"/>
      <c r="D9" s="224"/>
      <c r="E9" s="95"/>
      <c r="F9" s="95"/>
      <c r="G9" s="95"/>
      <c r="H9" s="95"/>
      <c r="I9" s="95"/>
    </row>
    <row r="10" spans="2:9">
      <c r="C10" s="95"/>
      <c r="D10" s="224"/>
      <c r="E10" s="95"/>
      <c r="F10" s="95"/>
      <c r="G10" s="95"/>
      <c r="H10" s="95"/>
      <c r="I10" s="95"/>
    </row>
    <row r="11" spans="2:9">
      <c r="B11" t="s">
        <v>403</v>
      </c>
      <c r="C11" s="95">
        <f>2.39*2.4</f>
        <v>5.7359999999999998</v>
      </c>
      <c r="D11" s="224" t="s">
        <v>8</v>
      </c>
      <c r="E11" s="95"/>
      <c r="F11" s="95"/>
      <c r="G11" s="95"/>
      <c r="H11" s="95"/>
      <c r="I11" s="95"/>
    </row>
    <row r="12" spans="2:9">
      <c r="B12" t="s">
        <v>402</v>
      </c>
      <c r="C12" s="95">
        <f>2.39*2.4</f>
        <v>5.7359999999999998</v>
      </c>
      <c r="D12" s="224" t="s">
        <v>8</v>
      </c>
      <c r="E12" s="95"/>
      <c r="F12" s="95"/>
      <c r="G12" s="95"/>
      <c r="H12" s="95"/>
      <c r="I12" s="95"/>
    </row>
    <row r="13" spans="2:9">
      <c r="B13" t="s">
        <v>404</v>
      </c>
      <c r="C13" s="95">
        <f>1* 2.39*0.15*0.2</f>
        <v>7.17E-2</v>
      </c>
      <c r="D13" s="224" t="s">
        <v>74</v>
      </c>
      <c r="E13" s="95"/>
      <c r="F13" s="95"/>
      <c r="G13" s="95"/>
      <c r="H13" s="95"/>
      <c r="I13" s="95"/>
    </row>
    <row r="14" spans="2:9">
      <c r="B14" t="s">
        <v>283</v>
      </c>
      <c r="C14" s="95">
        <v>1</v>
      </c>
      <c r="D14" s="224" t="s">
        <v>107</v>
      </c>
      <c r="E14" s="95"/>
      <c r="F14" s="95"/>
      <c r="G14" s="95"/>
      <c r="H14" s="95"/>
      <c r="I14" s="95"/>
    </row>
    <row r="15" spans="2:9">
      <c r="B15" t="s">
        <v>279</v>
      </c>
      <c r="C15" s="95">
        <v>1</v>
      </c>
      <c r="D15" s="224" t="s">
        <v>278</v>
      </c>
      <c r="E15" s="95"/>
      <c r="F15" s="95"/>
      <c r="G15" s="95"/>
      <c r="H15" s="95"/>
      <c r="I15" s="95"/>
    </row>
    <row r="16" spans="2:9">
      <c r="B16" t="s">
        <v>400</v>
      </c>
      <c r="C16" s="95">
        <f>2*2.39*2.4</f>
        <v>11.472</v>
      </c>
      <c r="D16" s="224" t="s">
        <v>8</v>
      </c>
      <c r="E16" s="95"/>
      <c r="F16" s="95"/>
      <c r="G16" s="95"/>
      <c r="H16" s="95"/>
      <c r="I16" s="95"/>
    </row>
    <row r="17" spans="2:9">
      <c r="B17" t="s">
        <v>401</v>
      </c>
      <c r="C17" s="95">
        <f>2*4.25+2*2.39</f>
        <v>13.280000000000001</v>
      </c>
      <c r="D17" s="224" t="s">
        <v>278</v>
      </c>
      <c r="E17" s="95"/>
      <c r="F17" s="95"/>
      <c r="G17" s="95"/>
      <c r="H17" s="95"/>
      <c r="I17" s="95"/>
    </row>
    <row r="18" spans="2:9">
      <c r="C18" s="95"/>
      <c r="D18" s="224" t="s">
        <v>278</v>
      </c>
      <c r="E18" s="95"/>
      <c r="F18" s="95"/>
      <c r="G18" s="95"/>
      <c r="H18" s="95"/>
      <c r="I18" s="95"/>
    </row>
    <row r="19" spans="2:9">
      <c r="B19" s="281" t="s">
        <v>347</v>
      </c>
      <c r="C19" s="95"/>
      <c r="D19" s="224"/>
      <c r="E19" s="95"/>
      <c r="F19" s="95"/>
      <c r="G19" s="95"/>
      <c r="H19" s="95"/>
      <c r="I19" s="95"/>
    </row>
    <row r="20" spans="2:9">
      <c r="C20" s="95"/>
      <c r="D20" s="224"/>
      <c r="E20" s="282" t="s">
        <v>366</v>
      </c>
      <c r="F20" s="282" t="s">
        <v>370</v>
      </c>
      <c r="G20" s="95"/>
      <c r="H20" s="95"/>
      <c r="I20" s="95"/>
    </row>
    <row r="21" spans="2:9">
      <c r="B21" t="s">
        <v>398</v>
      </c>
      <c r="C21" s="95">
        <v>2</v>
      </c>
      <c r="D21" s="224" t="s">
        <v>7</v>
      </c>
      <c r="E21" s="224" t="s">
        <v>367</v>
      </c>
      <c r="F21" s="224" t="s">
        <v>371</v>
      </c>
      <c r="G21" s="95"/>
      <c r="H21" s="95"/>
      <c r="I21" s="95"/>
    </row>
    <row r="22" spans="2:9">
      <c r="B22" t="s">
        <v>348</v>
      </c>
      <c r="C22" s="95">
        <v>1</v>
      </c>
      <c r="D22" s="224" t="s">
        <v>7</v>
      </c>
      <c r="E22" s="224" t="s">
        <v>367</v>
      </c>
      <c r="F22" s="224" t="s">
        <v>371</v>
      </c>
      <c r="G22" s="95"/>
      <c r="H22" s="95"/>
      <c r="I22" s="95"/>
    </row>
    <row r="23" spans="2:9">
      <c r="B23" t="s">
        <v>349</v>
      </c>
      <c r="C23" s="95">
        <v>1</v>
      </c>
      <c r="D23" s="224" t="s">
        <v>7</v>
      </c>
      <c r="E23" s="224" t="s">
        <v>367</v>
      </c>
      <c r="F23" s="224" t="s">
        <v>371</v>
      </c>
      <c r="G23" s="95"/>
      <c r="H23" s="95"/>
      <c r="I23" s="95"/>
    </row>
    <row r="24" spans="2:9">
      <c r="B24" t="s">
        <v>350</v>
      </c>
      <c r="C24" s="95">
        <v>1</v>
      </c>
      <c r="D24" s="224" t="s">
        <v>7</v>
      </c>
      <c r="E24" s="224" t="s">
        <v>367</v>
      </c>
      <c r="F24" s="224" t="s">
        <v>371</v>
      </c>
      <c r="G24" s="95"/>
      <c r="H24" s="95"/>
      <c r="I24" s="95"/>
    </row>
    <row r="25" spans="2:9">
      <c r="B25" t="s">
        <v>351</v>
      </c>
      <c r="C25" s="95">
        <v>1</v>
      </c>
      <c r="D25" s="224" t="s">
        <v>7</v>
      </c>
      <c r="E25" s="224" t="s">
        <v>369</v>
      </c>
      <c r="F25" s="224" t="s">
        <v>372</v>
      </c>
      <c r="G25" s="95"/>
      <c r="H25" s="95"/>
      <c r="I25" s="95"/>
    </row>
    <row r="26" spans="2:9">
      <c r="B26" t="s">
        <v>354</v>
      </c>
      <c r="C26" s="95">
        <v>1</v>
      </c>
      <c r="D26" s="224" t="s">
        <v>7</v>
      </c>
      <c r="E26" s="224" t="s">
        <v>367</v>
      </c>
      <c r="F26" s="224" t="s">
        <v>371</v>
      </c>
      <c r="G26" s="95"/>
      <c r="H26" s="95"/>
      <c r="I26" s="95"/>
    </row>
    <row r="27" spans="2:9">
      <c r="B27" t="s">
        <v>355</v>
      </c>
      <c r="C27" s="95">
        <v>1</v>
      </c>
      <c r="D27" s="224" t="s">
        <v>7</v>
      </c>
      <c r="E27" s="224" t="s">
        <v>367</v>
      </c>
      <c r="F27" s="224" t="s">
        <v>373</v>
      </c>
      <c r="G27" s="95">
        <f>1+1+1+1</f>
        <v>4</v>
      </c>
      <c r="H27" s="95"/>
      <c r="I27" s="95"/>
    </row>
    <row r="28" spans="2:9">
      <c r="B28" t="s">
        <v>356</v>
      </c>
      <c r="C28" s="95">
        <v>1</v>
      </c>
      <c r="D28" s="224" t="s">
        <v>7</v>
      </c>
      <c r="E28" s="224" t="s">
        <v>367</v>
      </c>
      <c r="F28" s="224" t="s">
        <v>371</v>
      </c>
      <c r="G28" s="95"/>
      <c r="H28" s="95"/>
      <c r="I28" s="95"/>
    </row>
    <row r="29" spans="2:9">
      <c r="B29" t="s">
        <v>357</v>
      </c>
      <c r="C29" s="95">
        <v>1</v>
      </c>
      <c r="D29" s="224" t="s">
        <v>7</v>
      </c>
      <c r="E29" s="224" t="s">
        <v>367</v>
      </c>
      <c r="F29" s="224" t="s">
        <v>371</v>
      </c>
      <c r="G29" s="95"/>
      <c r="H29" s="95"/>
      <c r="I29" s="95"/>
    </row>
    <row r="30" spans="2:9">
      <c r="B30" t="s">
        <v>358</v>
      </c>
      <c r="C30" s="95">
        <v>1</v>
      </c>
      <c r="D30" s="224" t="s">
        <v>7</v>
      </c>
      <c r="E30" s="224" t="s">
        <v>367</v>
      </c>
      <c r="F30" s="224" t="s">
        <v>373</v>
      </c>
      <c r="G30" s="95"/>
      <c r="H30" s="95"/>
      <c r="I30" s="95"/>
    </row>
    <row r="31" spans="2:9">
      <c r="B31" t="s">
        <v>359</v>
      </c>
      <c r="C31" s="95">
        <v>1</v>
      </c>
      <c r="D31" s="224" t="s">
        <v>7</v>
      </c>
      <c r="E31" s="224" t="s">
        <v>367</v>
      </c>
      <c r="F31" s="224" t="s">
        <v>373</v>
      </c>
      <c r="G31" s="95"/>
      <c r="H31" s="95"/>
      <c r="I31" s="95"/>
    </row>
    <row r="32" spans="2:9">
      <c r="B32" t="s">
        <v>352</v>
      </c>
      <c r="C32" s="95">
        <v>1</v>
      </c>
      <c r="D32" s="224" t="s">
        <v>7</v>
      </c>
      <c r="E32" s="224" t="s">
        <v>367</v>
      </c>
      <c r="F32" s="224" t="s">
        <v>373</v>
      </c>
      <c r="G32" s="95"/>
      <c r="H32" s="95"/>
      <c r="I32" s="95"/>
    </row>
    <row r="33" spans="2:9">
      <c r="B33" t="s">
        <v>353</v>
      </c>
      <c r="C33" s="95">
        <v>1</v>
      </c>
      <c r="D33" s="224" t="s">
        <v>7</v>
      </c>
      <c r="E33" s="224" t="s">
        <v>367</v>
      </c>
      <c r="F33" s="224" t="s">
        <v>371</v>
      </c>
      <c r="G33" s="95"/>
      <c r="H33" s="95"/>
      <c r="I33" s="95"/>
    </row>
    <row r="34" spans="2:9">
      <c r="B34" t="s">
        <v>360</v>
      </c>
      <c r="C34" s="95">
        <v>1</v>
      </c>
      <c r="D34" s="224" t="s">
        <v>7</v>
      </c>
      <c r="E34" s="224" t="s">
        <v>368</v>
      </c>
      <c r="F34" s="224" t="s">
        <v>371</v>
      </c>
      <c r="G34" s="95"/>
      <c r="H34" s="95"/>
      <c r="I34" s="95"/>
    </row>
    <row r="35" spans="2:9">
      <c r="B35" t="s">
        <v>361</v>
      </c>
      <c r="C35" s="95">
        <v>1</v>
      </c>
      <c r="D35" s="224" t="s">
        <v>7</v>
      </c>
      <c r="E35" s="224" t="s">
        <v>367</v>
      </c>
      <c r="F35" s="224" t="s">
        <v>373</v>
      </c>
      <c r="G35" s="95"/>
      <c r="H35" s="95"/>
      <c r="I35" s="95"/>
    </row>
    <row r="36" spans="2:9">
      <c r="B36" t="s">
        <v>362</v>
      </c>
      <c r="C36" s="95">
        <v>2</v>
      </c>
      <c r="D36" s="224" t="s">
        <v>7</v>
      </c>
      <c r="E36" s="224" t="s">
        <v>368</v>
      </c>
      <c r="F36" s="224" t="s">
        <v>373</v>
      </c>
      <c r="G36" s="95"/>
      <c r="H36" s="95"/>
      <c r="I36" s="95"/>
    </row>
    <row r="37" spans="2:9">
      <c r="B37" t="s">
        <v>363</v>
      </c>
      <c r="C37" s="95">
        <v>2</v>
      </c>
      <c r="D37" s="224" t="s">
        <v>7</v>
      </c>
      <c r="E37" s="224" t="s">
        <v>368</v>
      </c>
      <c r="F37" s="224" t="s">
        <v>371</v>
      </c>
      <c r="G37" s="95"/>
      <c r="H37" s="95"/>
      <c r="I37" s="95"/>
    </row>
    <row r="38" spans="2:9">
      <c r="B38" t="s">
        <v>364</v>
      </c>
      <c r="C38" s="95">
        <v>1</v>
      </c>
      <c r="D38" s="224" t="s">
        <v>7</v>
      </c>
      <c r="E38" s="224" t="s">
        <v>369</v>
      </c>
      <c r="F38" s="224" t="s">
        <v>371</v>
      </c>
      <c r="G38" s="95"/>
      <c r="H38" s="95"/>
      <c r="I38" s="95"/>
    </row>
    <row r="39" spans="2:9">
      <c r="B39" t="s">
        <v>365</v>
      </c>
      <c r="C39" s="95">
        <v>1</v>
      </c>
      <c r="D39" s="224" t="s">
        <v>7</v>
      </c>
      <c r="E39" s="224" t="s">
        <v>368</v>
      </c>
      <c r="F39" s="224"/>
      <c r="G39" s="95"/>
      <c r="H39" s="95"/>
      <c r="I39" s="95"/>
    </row>
    <row r="40" spans="2:9">
      <c r="C40" s="95">
        <f>SUM(C21:C39)</f>
        <v>22</v>
      </c>
      <c r="D40" s="224"/>
      <c r="E40" s="95"/>
      <c r="F40" s="224"/>
      <c r="G40" s="95"/>
      <c r="H40" s="95"/>
      <c r="I40" s="95"/>
    </row>
    <row r="41" spans="2:9">
      <c r="C41" s="95"/>
      <c r="D41" s="224"/>
      <c r="E41" s="95"/>
      <c r="F41" s="95"/>
      <c r="G41" s="95"/>
      <c r="H41" s="95"/>
      <c r="I41" s="95"/>
    </row>
    <row r="42" spans="2:9">
      <c r="B42" t="s">
        <v>435</v>
      </c>
      <c r="C42" s="95">
        <f>5*1</f>
        <v>5</v>
      </c>
      <c r="D42" s="224" t="s">
        <v>8</v>
      </c>
      <c r="E42" s="95"/>
      <c r="F42" s="95"/>
      <c r="G42" s="95"/>
      <c r="H42" s="95"/>
      <c r="I42" s="95"/>
    </row>
    <row r="43" spans="2:9">
      <c r="B43" t="s">
        <v>471</v>
      </c>
      <c r="C43" s="95">
        <f>(4.14+2.98)*1*0.1-4*1.22*1*0.1</f>
        <v>0.22399999999999998</v>
      </c>
      <c r="D43" s="224" t="s">
        <v>74</v>
      </c>
      <c r="E43" s="95"/>
      <c r="F43" s="95"/>
      <c r="G43" s="95"/>
      <c r="H43" s="95"/>
      <c r="I43" s="95"/>
    </row>
    <row r="44" spans="2:9">
      <c r="B44" t="s">
        <v>473</v>
      </c>
      <c r="C44" s="95">
        <f>(4.14+2.98)*1-4*1.22*1</f>
        <v>2.2399999999999993</v>
      </c>
      <c r="D44" s="224" t="s">
        <v>8</v>
      </c>
      <c r="E44" s="95"/>
      <c r="F44" s="95"/>
      <c r="G44" s="95"/>
      <c r="H44" s="95"/>
      <c r="I44" s="95"/>
    </row>
    <row r="45" spans="2:9">
      <c r="B45" t="s">
        <v>474</v>
      </c>
      <c r="C45" s="95">
        <f>(4.14+2.98)*1</f>
        <v>7.1199999999999992</v>
      </c>
      <c r="D45" s="224" t="s">
        <v>8</v>
      </c>
      <c r="E45" s="95"/>
      <c r="F45" s="95"/>
      <c r="G45" s="95"/>
      <c r="H45" s="95"/>
      <c r="I45" s="95"/>
    </row>
    <row r="46" spans="2:9">
      <c r="C46" s="95">
        <f>APU!F322*VOLUMENES!C43</f>
        <v>0</v>
      </c>
      <c r="D46" s="224"/>
      <c r="E46" s="95"/>
      <c r="F46" s="95"/>
      <c r="G46" s="95"/>
      <c r="H46" s="95"/>
      <c r="I46" s="95"/>
    </row>
    <row r="47" spans="2:9">
      <c r="C47" s="95">
        <f>C46/C44</f>
        <v>0</v>
      </c>
      <c r="D47" s="224"/>
      <c r="E47" s="95"/>
      <c r="F47" s="95"/>
      <c r="G47" s="95"/>
      <c r="H47" s="95"/>
      <c r="I47" s="95"/>
    </row>
    <row r="48" spans="2:9">
      <c r="B48" t="s">
        <v>475</v>
      </c>
      <c r="C48" s="95">
        <f>10*0.9+7.12*2</f>
        <v>23.240000000000002</v>
      </c>
      <c r="D48" s="224"/>
      <c r="E48" s="95"/>
      <c r="F48" s="95"/>
      <c r="G48" s="95"/>
      <c r="H48" s="95"/>
      <c r="I48" s="95"/>
    </row>
    <row r="49" spans="2:11">
      <c r="C49" s="95"/>
      <c r="D49" s="224"/>
      <c r="E49" s="95"/>
      <c r="F49" s="95"/>
      <c r="G49" s="95"/>
      <c r="H49" s="95"/>
      <c r="I49" s="95"/>
    </row>
    <row r="50" spans="2:11">
      <c r="B50" s="281" t="s">
        <v>577</v>
      </c>
      <c r="C50" s="95"/>
      <c r="D50" s="224"/>
      <c r="E50" s="95"/>
      <c r="F50" s="95"/>
      <c r="G50" s="95"/>
      <c r="H50" s="95"/>
      <c r="I50" s="95"/>
    </row>
    <row r="51" spans="2:11">
      <c r="B51" t="s">
        <v>578</v>
      </c>
      <c r="C51" s="95">
        <v>10</v>
      </c>
      <c r="D51" s="224" t="s">
        <v>324</v>
      </c>
      <c r="E51" s="95">
        <v>330</v>
      </c>
      <c r="F51" s="224">
        <f>C51*E51</f>
        <v>3300</v>
      </c>
      <c r="G51" s="95">
        <f>(10.5+4.09+11.17+1.61+2.2)</f>
        <v>29.569999999999997</v>
      </c>
      <c r="H51" s="224" t="s">
        <v>278</v>
      </c>
      <c r="I51" s="95">
        <f>E51*3.28</f>
        <v>1082.3999999999999</v>
      </c>
      <c r="J51" s="224" t="s">
        <v>42</v>
      </c>
      <c r="K51" s="95"/>
    </row>
    <row r="52" spans="2:11">
      <c r="B52" t="s">
        <v>579</v>
      </c>
      <c r="C52" s="95">
        <v>5</v>
      </c>
      <c r="D52" s="224" t="s">
        <v>7</v>
      </c>
      <c r="E52" s="95">
        <v>26</v>
      </c>
      <c r="F52" s="224">
        <f t="shared" ref="F52:F65" si="0">C52*E52</f>
        <v>130</v>
      </c>
      <c r="G52" s="95"/>
      <c r="H52" s="224"/>
      <c r="I52" s="95"/>
      <c r="J52" s="224"/>
      <c r="K52" s="95"/>
    </row>
    <row r="53" spans="2:11">
      <c r="B53" t="s">
        <v>580</v>
      </c>
      <c r="C53" s="95">
        <v>2</v>
      </c>
      <c r="D53" s="224" t="s">
        <v>7</v>
      </c>
      <c r="E53" s="95">
        <v>23</v>
      </c>
      <c r="F53" s="224">
        <f t="shared" si="0"/>
        <v>46</v>
      </c>
      <c r="G53" s="95"/>
      <c r="H53" s="224"/>
      <c r="I53" s="95"/>
      <c r="J53" s="224"/>
      <c r="K53" s="95"/>
    </row>
    <row r="54" spans="2:11">
      <c r="B54" t="s">
        <v>581</v>
      </c>
      <c r="C54" s="95">
        <v>2</v>
      </c>
      <c r="D54" s="224" t="s">
        <v>7</v>
      </c>
      <c r="E54" s="95">
        <v>40</v>
      </c>
      <c r="F54" s="224">
        <f t="shared" si="0"/>
        <v>80</v>
      </c>
      <c r="G54" s="95"/>
      <c r="H54" s="224"/>
      <c r="I54" s="95"/>
      <c r="J54" s="224"/>
      <c r="K54" s="95"/>
    </row>
    <row r="55" spans="2:11">
      <c r="B55" t="s">
        <v>582</v>
      </c>
      <c r="C55" s="95">
        <v>1</v>
      </c>
      <c r="D55" s="224" t="s">
        <v>7</v>
      </c>
      <c r="E55" s="95">
        <v>27</v>
      </c>
      <c r="F55" s="224">
        <f t="shared" si="0"/>
        <v>27</v>
      </c>
      <c r="G55" s="95"/>
      <c r="H55" s="224"/>
      <c r="I55" s="95"/>
      <c r="J55" s="224"/>
      <c r="K55" s="95"/>
    </row>
    <row r="56" spans="2:11">
      <c r="B56" t="s">
        <v>583</v>
      </c>
      <c r="C56" s="95">
        <v>1</v>
      </c>
      <c r="D56" s="224" t="s">
        <v>7</v>
      </c>
      <c r="E56" s="95">
        <v>8</v>
      </c>
      <c r="F56" s="224">
        <f t="shared" si="0"/>
        <v>8</v>
      </c>
      <c r="G56" s="95"/>
      <c r="H56" s="224"/>
      <c r="I56" s="95"/>
      <c r="J56" s="224"/>
      <c r="K56" s="95"/>
    </row>
    <row r="57" spans="2:11">
      <c r="B57" t="s">
        <v>584</v>
      </c>
      <c r="C57" s="95">
        <v>1</v>
      </c>
      <c r="D57" s="224" t="s">
        <v>7</v>
      </c>
      <c r="E57" s="95">
        <v>395</v>
      </c>
      <c r="F57" s="224">
        <f t="shared" si="0"/>
        <v>395</v>
      </c>
      <c r="G57" s="95"/>
      <c r="H57" s="224"/>
      <c r="I57" s="95"/>
      <c r="J57" s="224"/>
      <c r="K57" s="95"/>
    </row>
    <row r="58" spans="2:11">
      <c r="B58" t="s">
        <v>586</v>
      </c>
      <c r="C58" s="95">
        <v>1</v>
      </c>
      <c r="D58" s="224" t="s">
        <v>7</v>
      </c>
      <c r="E58" s="95">
        <v>580</v>
      </c>
      <c r="F58" s="224">
        <f t="shared" si="0"/>
        <v>580</v>
      </c>
      <c r="G58" s="95"/>
      <c r="H58" s="224"/>
      <c r="I58" s="95"/>
      <c r="J58" s="224"/>
      <c r="K58" s="95"/>
    </row>
    <row r="59" spans="2:11">
      <c r="B59" t="s">
        <v>587</v>
      </c>
      <c r="C59" s="95">
        <v>2</v>
      </c>
      <c r="D59" s="224" t="s">
        <v>7</v>
      </c>
      <c r="E59" s="95">
        <v>6.63</v>
      </c>
      <c r="F59" s="224">
        <f t="shared" si="0"/>
        <v>13.26</v>
      </c>
      <c r="G59" s="95"/>
      <c r="H59" s="224"/>
      <c r="I59" s="95"/>
      <c r="J59" s="224"/>
      <c r="K59" s="95"/>
    </row>
    <row r="60" spans="2:11">
      <c r="B60" t="s">
        <v>585</v>
      </c>
      <c r="C60" s="95">
        <v>1</v>
      </c>
      <c r="D60" s="224" t="s">
        <v>7</v>
      </c>
      <c r="E60" s="95">
        <v>18</v>
      </c>
      <c r="F60" s="224">
        <f t="shared" si="0"/>
        <v>18</v>
      </c>
      <c r="G60" s="95"/>
      <c r="H60" s="224"/>
      <c r="I60" s="95"/>
      <c r="J60" s="224"/>
      <c r="K60" s="95"/>
    </row>
    <row r="61" spans="2:11">
      <c r="B61" t="s">
        <v>588</v>
      </c>
      <c r="C61" s="95">
        <v>2</v>
      </c>
      <c r="D61" s="224" t="s">
        <v>7</v>
      </c>
      <c r="E61" s="95">
        <v>11</v>
      </c>
      <c r="F61" s="224">
        <f t="shared" si="0"/>
        <v>22</v>
      </c>
      <c r="G61" s="95"/>
      <c r="H61" s="224"/>
      <c r="I61" s="95"/>
      <c r="J61" s="224"/>
      <c r="K61" s="95"/>
    </row>
    <row r="62" spans="2:11">
      <c r="B62" t="s">
        <v>590</v>
      </c>
      <c r="C62" s="95">
        <v>1</v>
      </c>
      <c r="D62" s="224" t="s">
        <v>7</v>
      </c>
      <c r="E62" s="95">
        <v>27</v>
      </c>
      <c r="F62" s="224">
        <f t="shared" si="0"/>
        <v>27</v>
      </c>
      <c r="G62" s="95"/>
      <c r="H62" s="224"/>
      <c r="I62" s="95">
        <f>27.03*19</f>
        <v>513.57000000000005</v>
      </c>
      <c r="J62" s="224"/>
      <c r="K62" s="95"/>
    </row>
    <row r="63" spans="2:11">
      <c r="B63" t="s">
        <v>589</v>
      </c>
      <c r="C63" s="95">
        <v>50</v>
      </c>
      <c r="D63" s="224" t="s">
        <v>42</v>
      </c>
      <c r="E63" s="95">
        <v>15</v>
      </c>
      <c r="F63" s="224">
        <f t="shared" si="0"/>
        <v>750</v>
      </c>
      <c r="G63" s="95"/>
      <c r="H63" s="95"/>
      <c r="I63" s="95"/>
      <c r="J63" s="224"/>
      <c r="K63" s="95"/>
    </row>
    <row r="64" spans="2:11">
      <c r="B64" t="s">
        <v>591</v>
      </c>
      <c r="C64" s="95">
        <v>2</v>
      </c>
      <c r="D64" s="224" t="s">
        <v>7</v>
      </c>
      <c r="E64" s="95">
        <v>225</v>
      </c>
      <c r="F64" s="224">
        <f t="shared" si="0"/>
        <v>450</v>
      </c>
      <c r="G64" s="95"/>
      <c r="H64" s="95"/>
      <c r="I64" s="95">
        <f>5.13+3.79+1.3</f>
        <v>10.220000000000001</v>
      </c>
      <c r="J64" s="224"/>
      <c r="K64" s="95"/>
    </row>
    <row r="65" spans="2:11">
      <c r="B65" t="s">
        <v>593</v>
      </c>
      <c r="C65" s="95">
        <v>4</v>
      </c>
      <c r="D65" s="224" t="s">
        <v>7</v>
      </c>
      <c r="E65" s="95">
        <v>18</v>
      </c>
      <c r="F65" s="224">
        <f t="shared" si="0"/>
        <v>72</v>
      </c>
      <c r="G65" s="95"/>
      <c r="H65" s="95"/>
      <c r="I65" s="95">
        <f>I64*3.28/19</f>
        <v>1.7642947368421051</v>
      </c>
      <c r="J65" s="224"/>
      <c r="K65" s="95"/>
    </row>
    <row r="66" spans="2:11">
      <c r="C66" s="95"/>
      <c r="D66" s="224"/>
      <c r="E66" s="95"/>
      <c r="F66" s="95"/>
      <c r="G66" s="95"/>
      <c r="H66" s="95"/>
      <c r="I66" s="95"/>
      <c r="J66" s="224"/>
      <c r="K66" s="95"/>
    </row>
    <row r="67" spans="2:11">
      <c r="C67" s="95"/>
      <c r="D67" s="224"/>
      <c r="E67" s="95"/>
      <c r="F67" s="95">
        <f>SUM(F51:F66)</f>
        <v>5918.26</v>
      </c>
      <c r="G67" s="95"/>
      <c r="H67" s="95"/>
      <c r="I67" s="95"/>
      <c r="J67" s="224"/>
      <c r="K67" s="95"/>
    </row>
    <row r="68" spans="2:11">
      <c r="C68" s="95"/>
      <c r="D68" s="224"/>
      <c r="E68" s="95"/>
      <c r="F68" s="95"/>
      <c r="G68" s="95"/>
      <c r="H68" s="95"/>
      <c r="I68" s="95"/>
      <c r="J68" s="224"/>
      <c r="K68" s="95"/>
    </row>
    <row r="69" spans="2:11">
      <c r="B69" t="s">
        <v>636</v>
      </c>
      <c r="C69" s="95">
        <f>(4+4.09+5.13+1.7+6)</f>
        <v>20.919999999999998</v>
      </c>
      <c r="D69" s="224" t="s">
        <v>278</v>
      </c>
      <c r="E69" s="95">
        <f>C69*3.28</f>
        <v>68.617599999999996</v>
      </c>
      <c r="F69" s="224" t="s">
        <v>42</v>
      </c>
      <c r="G69" s="95">
        <f>E69/19</f>
        <v>3.6114526315789472</v>
      </c>
      <c r="H69" s="95"/>
      <c r="I69" s="95"/>
      <c r="J69" s="224"/>
      <c r="K69" s="95"/>
    </row>
    <row r="70" spans="2:11">
      <c r="C70" s="95"/>
      <c r="D70" s="224"/>
      <c r="E70" s="95"/>
      <c r="F70" s="95"/>
      <c r="G70" s="95"/>
      <c r="H70" s="95"/>
      <c r="I70" s="95"/>
      <c r="J70" s="224"/>
      <c r="K70" s="95"/>
    </row>
    <row r="71" spans="2:11">
      <c r="C71" s="95"/>
      <c r="D71" s="224"/>
      <c r="E71" s="95"/>
      <c r="F71" s="95"/>
      <c r="G71" s="95"/>
      <c r="H71" s="95"/>
      <c r="I71" s="95"/>
      <c r="J71" s="224"/>
      <c r="K71" s="95"/>
    </row>
    <row r="72" spans="2:11">
      <c r="C72" s="95"/>
      <c r="D72" s="224"/>
      <c r="E72" s="95"/>
      <c r="F72" s="95"/>
      <c r="G72" s="95"/>
      <c r="H72" s="95"/>
      <c r="I72" s="95"/>
      <c r="J72" s="224"/>
      <c r="K72" s="95"/>
    </row>
    <row r="73" spans="2:11">
      <c r="C73" s="95"/>
      <c r="D73" s="224"/>
      <c r="E73" s="95"/>
      <c r="F73" s="95"/>
      <c r="G73" s="95"/>
      <c r="H73" s="95"/>
      <c r="I73" s="95"/>
      <c r="J73" s="224"/>
      <c r="K73" s="95"/>
    </row>
    <row r="74" spans="2:11">
      <c r="C74" s="95"/>
      <c r="D74" s="224"/>
      <c r="E74" s="95"/>
      <c r="F74" s="95"/>
      <c r="G74" s="95"/>
      <c r="H74" s="95"/>
      <c r="I74" s="95"/>
      <c r="J74" s="224"/>
      <c r="K74" s="95"/>
    </row>
    <row r="75" spans="2:11">
      <c r="C75" s="95"/>
      <c r="D75" s="224"/>
      <c r="E75" s="95"/>
      <c r="F75" s="95"/>
      <c r="G75" s="95"/>
      <c r="H75" s="95"/>
      <c r="I75" s="95"/>
      <c r="J75" s="224"/>
      <c r="K75" s="95"/>
    </row>
    <row r="76" spans="2:11">
      <c r="C76" s="95"/>
      <c r="D76" s="224"/>
      <c r="E76" s="95"/>
      <c r="F76" s="95"/>
      <c r="G76" s="95"/>
      <c r="H76" s="95"/>
      <c r="I76" s="95"/>
      <c r="J76" s="95"/>
      <c r="K76" s="95"/>
    </row>
    <row r="77" spans="2:11">
      <c r="C77" s="95"/>
      <c r="D77" s="224"/>
      <c r="E77" s="95"/>
      <c r="F77" s="95"/>
      <c r="G77" s="95"/>
      <c r="H77" s="95"/>
      <c r="I77" s="95"/>
      <c r="J77" s="95"/>
      <c r="K77" s="95"/>
    </row>
    <row r="78" spans="2:11">
      <c r="C78" s="95"/>
      <c r="D78" s="224"/>
      <c r="E78" s="95"/>
      <c r="F78" s="95"/>
      <c r="G78" s="95"/>
      <c r="H78" s="95"/>
      <c r="I78" s="95"/>
      <c r="J78" s="95"/>
      <c r="K78" s="95"/>
    </row>
    <row r="79" spans="2:11">
      <c r="C79" s="95"/>
      <c r="D79" s="224"/>
      <c r="E79" s="95"/>
      <c r="F79" s="95"/>
      <c r="G79" s="95"/>
      <c r="H79" s="95"/>
      <c r="I79" s="95"/>
      <c r="J79" s="95"/>
      <c r="K79" s="95"/>
    </row>
    <row r="80" spans="2:11">
      <c r="C80" s="95"/>
      <c r="D80" s="224"/>
      <c r="E80" s="95"/>
      <c r="F80" s="95"/>
      <c r="G80" s="95"/>
      <c r="H80" s="95"/>
      <c r="I80" s="95"/>
    </row>
    <row r="81" spans="3:9">
      <c r="C81" s="95"/>
      <c r="D81" s="224"/>
      <c r="E81" s="95"/>
      <c r="F81" s="95"/>
      <c r="G81" s="95"/>
      <c r="H81" s="95"/>
      <c r="I81" s="95"/>
    </row>
    <row r="82" spans="3:9">
      <c r="C82" s="95"/>
      <c r="D82" s="224"/>
      <c r="E82" s="95"/>
      <c r="F82" s="95"/>
      <c r="G82" s="95"/>
      <c r="H82" s="95"/>
      <c r="I82" s="95"/>
    </row>
    <row r="83" spans="3:9">
      <c r="C83" s="95"/>
      <c r="D83" s="224"/>
      <c r="E83" s="95"/>
      <c r="F83" s="95"/>
      <c r="G83" s="95"/>
      <c r="H83" s="95"/>
      <c r="I83" s="95"/>
    </row>
    <row r="84" spans="3:9">
      <c r="C84" s="95"/>
      <c r="D84" s="224"/>
      <c r="E84" s="95"/>
      <c r="F84" s="95"/>
      <c r="G84" s="95"/>
      <c r="H84" s="95"/>
      <c r="I84" s="95"/>
    </row>
    <row r="85" spans="3:9">
      <c r="C85" s="95"/>
      <c r="D85" s="224"/>
      <c r="E85" s="95"/>
      <c r="F85" s="95"/>
      <c r="G85" s="95"/>
      <c r="H85" s="95"/>
      <c r="I85" s="95"/>
    </row>
    <row r="86" spans="3:9">
      <c r="C86" s="95"/>
      <c r="D86" s="224"/>
      <c r="E86" s="95"/>
      <c r="F86" s="95"/>
      <c r="G86" s="95"/>
      <c r="H86" s="95"/>
      <c r="I86" s="95"/>
    </row>
    <row r="87" spans="3:9">
      <c r="C87" s="95"/>
      <c r="D87" s="224"/>
      <c r="E87" s="95"/>
      <c r="F87" s="95"/>
      <c r="G87" s="95"/>
      <c r="H87" s="95"/>
      <c r="I87" s="95"/>
    </row>
    <row r="88" spans="3:9">
      <c r="C88" s="95"/>
      <c r="D88" s="224"/>
      <c r="E88" s="95"/>
      <c r="F88" s="95"/>
      <c r="G88" s="95"/>
      <c r="H88" s="95"/>
      <c r="I88" s="95"/>
    </row>
    <row r="89" spans="3:9">
      <c r="C89" s="95"/>
      <c r="D89" s="224"/>
      <c r="E89" s="95"/>
      <c r="F89" s="95"/>
      <c r="G89" s="95"/>
      <c r="H89" s="95"/>
      <c r="I89" s="95"/>
    </row>
    <row r="90" spans="3:9">
      <c r="C90" s="95"/>
      <c r="D90" s="224"/>
      <c r="E90" s="95"/>
      <c r="F90" s="95"/>
      <c r="G90" s="95"/>
      <c r="H90" s="95"/>
      <c r="I90" s="95"/>
    </row>
    <row r="91" spans="3:9">
      <c r="C91" s="95"/>
      <c r="D91" s="224"/>
      <c r="E91" s="95"/>
      <c r="F91" s="95"/>
      <c r="G91" s="95"/>
      <c r="H91" s="95"/>
      <c r="I91" s="95"/>
    </row>
    <row r="92" spans="3:9">
      <c r="C92" s="95"/>
      <c r="D92" s="224"/>
      <c r="E92" s="95"/>
      <c r="F92" s="95"/>
      <c r="G92" s="95"/>
      <c r="H92" s="95"/>
      <c r="I92" s="95"/>
    </row>
    <row r="93" spans="3:9">
      <c r="C93" s="95"/>
      <c r="D93" s="224"/>
      <c r="E93" s="95"/>
      <c r="F93" s="95"/>
      <c r="G93" s="95"/>
      <c r="H93" s="95"/>
      <c r="I93" s="95"/>
    </row>
    <row r="94" spans="3:9">
      <c r="C94" s="95"/>
      <c r="D94" s="224"/>
      <c r="E94" s="95"/>
      <c r="F94" s="95"/>
      <c r="G94" s="95"/>
      <c r="H94" s="95"/>
      <c r="I94" s="95"/>
    </row>
    <row r="95" spans="3:9">
      <c r="C95" s="95"/>
      <c r="D95" s="224"/>
      <c r="E95" s="95"/>
      <c r="F95" s="95"/>
      <c r="G95" s="95"/>
      <c r="H95" s="95"/>
      <c r="I95" s="95"/>
    </row>
    <row r="96" spans="3:9">
      <c r="C96" s="95"/>
      <c r="D96" s="224"/>
      <c r="E96" s="95"/>
      <c r="F96" s="95"/>
      <c r="G96" s="95"/>
      <c r="H96" s="95"/>
      <c r="I96" s="95"/>
    </row>
    <row r="97" spans="3:9">
      <c r="C97" s="95"/>
      <c r="D97" s="224"/>
      <c r="E97" s="95"/>
      <c r="F97" s="95"/>
      <c r="G97" s="95"/>
      <c r="H97" s="95"/>
      <c r="I97" s="95"/>
    </row>
    <row r="98" spans="3:9">
      <c r="C98" s="95"/>
      <c r="D98" s="224"/>
      <c r="E98" s="95"/>
      <c r="F98" s="95"/>
      <c r="G98" s="95"/>
      <c r="H98" s="95"/>
      <c r="I98" s="95"/>
    </row>
    <row r="99" spans="3:9">
      <c r="C99" s="95"/>
      <c r="D99" s="224"/>
      <c r="E99" s="95"/>
      <c r="F99" s="95"/>
      <c r="G99" s="95"/>
      <c r="H99" s="95"/>
      <c r="I99" s="95"/>
    </row>
    <row r="100" spans="3:9">
      <c r="C100" s="95"/>
      <c r="D100" s="224"/>
      <c r="E100" s="95"/>
      <c r="F100" s="95"/>
      <c r="G100" s="95"/>
      <c r="H100" s="95"/>
      <c r="I100" s="95"/>
    </row>
    <row r="101" spans="3:9">
      <c r="C101" s="95"/>
      <c r="D101" s="224"/>
      <c r="E101" s="95"/>
      <c r="F101" s="95"/>
      <c r="G101" s="95"/>
      <c r="H101" s="95"/>
      <c r="I101" s="95"/>
    </row>
    <row r="102" spans="3:9">
      <c r="C102" s="95"/>
      <c r="D102" s="224"/>
      <c r="E102" s="95"/>
      <c r="F102" s="95"/>
      <c r="G102" s="95"/>
      <c r="H102" s="95"/>
      <c r="I102" s="95"/>
    </row>
    <row r="103" spans="3:9">
      <c r="C103" s="95"/>
      <c r="D103" s="224"/>
      <c r="E103" s="95"/>
      <c r="F103" s="95"/>
      <c r="G103" s="95"/>
      <c r="H103" s="95"/>
      <c r="I103" s="95"/>
    </row>
    <row r="104" spans="3:9">
      <c r="C104" s="95"/>
      <c r="D104" s="224"/>
      <c r="E104" s="95"/>
      <c r="F104" s="95"/>
      <c r="G104" s="95"/>
      <c r="H104" s="95"/>
      <c r="I104" s="95"/>
    </row>
    <row r="105" spans="3:9">
      <c r="C105" s="95"/>
      <c r="D105" s="224"/>
      <c r="E105" s="95"/>
      <c r="F105" s="95"/>
      <c r="G105" s="95"/>
      <c r="H105" s="95"/>
      <c r="I105" s="95"/>
    </row>
    <row r="106" spans="3:9">
      <c r="C106" s="95"/>
      <c r="D106" s="224"/>
      <c r="E106" s="95"/>
      <c r="F106" s="95"/>
      <c r="G106" s="95"/>
      <c r="H106" s="95"/>
      <c r="I106" s="95"/>
    </row>
    <row r="107" spans="3:9">
      <c r="C107" s="95"/>
      <c r="D107" s="224"/>
      <c r="E107" s="95"/>
      <c r="F107" s="95"/>
      <c r="G107" s="95"/>
      <c r="H107" s="95"/>
      <c r="I107" s="95"/>
    </row>
    <row r="108" spans="3:9">
      <c r="C108" s="95"/>
      <c r="D108" s="224"/>
      <c r="E108" s="95"/>
      <c r="F108" s="95"/>
      <c r="G108" s="95"/>
      <c r="H108" s="95"/>
      <c r="I108" s="95"/>
    </row>
    <row r="109" spans="3:9">
      <c r="C109" s="95"/>
      <c r="D109" s="224"/>
      <c r="E109" s="95"/>
      <c r="F109" s="95"/>
      <c r="G109" s="95"/>
      <c r="H109" s="95"/>
      <c r="I109" s="95"/>
    </row>
    <row r="110" spans="3:9">
      <c r="C110" s="95"/>
      <c r="D110" s="224"/>
      <c r="E110" s="95"/>
      <c r="F110" s="95"/>
      <c r="G110" s="95"/>
      <c r="H110" s="95"/>
      <c r="I110" s="95"/>
    </row>
    <row r="111" spans="3:9">
      <c r="C111" s="95"/>
      <c r="D111" s="224"/>
      <c r="E111" s="95"/>
      <c r="F111" s="95"/>
      <c r="G111" s="95"/>
      <c r="H111" s="95"/>
      <c r="I111" s="95"/>
    </row>
    <row r="112" spans="3:9">
      <c r="C112" s="95"/>
      <c r="D112" s="224"/>
      <c r="E112" s="95"/>
      <c r="F112" s="95"/>
      <c r="G112" s="95"/>
      <c r="H112" s="95"/>
      <c r="I112" s="95"/>
    </row>
    <row r="113" spans="3:9">
      <c r="C113" s="95"/>
      <c r="D113" s="224"/>
      <c r="E113" s="95"/>
      <c r="F113" s="95"/>
      <c r="G113" s="95"/>
      <c r="H113" s="95"/>
      <c r="I113" s="95"/>
    </row>
    <row r="114" spans="3:9">
      <c r="C114" s="95"/>
      <c r="D114" s="224"/>
      <c r="E114" s="95"/>
      <c r="F114" s="95"/>
      <c r="G114" s="95"/>
      <c r="H114" s="95"/>
      <c r="I114" s="95"/>
    </row>
    <row r="115" spans="3:9">
      <c r="C115" s="95"/>
      <c r="D115" s="224"/>
      <c r="E115" s="95"/>
      <c r="F115" s="95"/>
      <c r="G115" s="95"/>
      <c r="H115" s="95"/>
      <c r="I115" s="95"/>
    </row>
    <row r="116" spans="3:9">
      <c r="C116" s="95"/>
      <c r="D116" s="224"/>
      <c r="E116" s="95"/>
      <c r="F116" s="95"/>
      <c r="G116" s="95"/>
      <c r="H116" s="95"/>
      <c r="I116" s="95"/>
    </row>
    <row r="117" spans="3:9">
      <c r="C117" s="95"/>
      <c r="D117" s="224"/>
      <c r="E117" s="95"/>
      <c r="F117" s="95"/>
      <c r="G117" s="95"/>
      <c r="H117" s="95"/>
      <c r="I117" s="95"/>
    </row>
    <row r="118" spans="3:9">
      <c r="C118" s="95"/>
      <c r="D118" s="224"/>
      <c r="E118" s="95"/>
      <c r="F118" s="95"/>
      <c r="G118" s="95"/>
      <c r="H118" s="95"/>
      <c r="I118" s="95"/>
    </row>
    <row r="119" spans="3:9">
      <c r="C119" s="95"/>
      <c r="D119" s="224"/>
      <c r="E119" s="95"/>
      <c r="F119" s="95"/>
      <c r="G119" s="95"/>
      <c r="H119" s="95"/>
      <c r="I119" s="95"/>
    </row>
    <row r="120" spans="3:9">
      <c r="C120" s="95"/>
      <c r="D120" s="224"/>
      <c r="E120" s="95"/>
      <c r="F120" s="95"/>
      <c r="G120" s="95"/>
      <c r="H120" s="95"/>
      <c r="I120" s="95"/>
    </row>
    <row r="121" spans="3:9">
      <c r="C121" s="95"/>
      <c r="D121" s="224"/>
      <c r="E121" s="95"/>
      <c r="F121" s="95"/>
      <c r="G121" s="95"/>
      <c r="H121" s="95"/>
      <c r="I121" s="95"/>
    </row>
    <row r="122" spans="3:9">
      <c r="C122" s="95"/>
      <c r="D122" s="224"/>
      <c r="E122" s="95"/>
      <c r="F122" s="95"/>
      <c r="G122" s="95"/>
      <c r="H122" s="95"/>
      <c r="I122" s="95"/>
    </row>
    <row r="123" spans="3:9">
      <c r="C123" s="95"/>
      <c r="D123" s="224"/>
      <c r="E123" s="95"/>
      <c r="F123" s="95"/>
      <c r="G123" s="95"/>
      <c r="H123" s="95"/>
      <c r="I123" s="95"/>
    </row>
    <row r="124" spans="3:9">
      <c r="C124" s="95"/>
      <c r="D124" s="224"/>
      <c r="E124" s="95"/>
      <c r="F124" s="95"/>
      <c r="G124" s="95"/>
      <c r="H124" s="95"/>
      <c r="I124" s="95"/>
    </row>
    <row r="125" spans="3:9">
      <c r="C125" s="95"/>
      <c r="D125" s="224"/>
      <c r="E125" s="95"/>
      <c r="F125" s="95"/>
      <c r="G125" s="95"/>
      <c r="H125" s="95"/>
      <c r="I125" s="95"/>
    </row>
    <row r="126" spans="3:9">
      <c r="C126" s="95"/>
      <c r="D126" s="224"/>
      <c r="E126" s="95"/>
      <c r="F126" s="95"/>
      <c r="G126" s="95"/>
      <c r="H126" s="95"/>
      <c r="I126" s="95"/>
    </row>
    <row r="127" spans="3:9">
      <c r="C127" s="95"/>
      <c r="D127" s="224"/>
      <c r="E127" s="95"/>
      <c r="F127" s="95"/>
      <c r="G127" s="95"/>
      <c r="H127" s="95"/>
      <c r="I127" s="95"/>
    </row>
    <row r="128" spans="3:9">
      <c r="C128" s="95"/>
      <c r="D128" s="224"/>
      <c r="E128" s="95"/>
      <c r="F128" s="95"/>
      <c r="G128" s="95"/>
      <c r="H128" s="95"/>
      <c r="I128" s="95"/>
    </row>
    <row r="129" spans="3:9">
      <c r="C129" s="95"/>
      <c r="D129" s="224"/>
      <c r="E129" s="95"/>
      <c r="F129" s="95"/>
      <c r="G129" s="95"/>
      <c r="H129" s="95"/>
      <c r="I129" s="95"/>
    </row>
    <row r="130" spans="3:9">
      <c r="C130" s="95"/>
      <c r="D130" s="224"/>
      <c r="E130" s="95"/>
      <c r="F130" s="95"/>
      <c r="G130" s="95"/>
      <c r="H130" s="95"/>
      <c r="I130" s="95"/>
    </row>
    <row r="131" spans="3:9">
      <c r="C131" s="95"/>
      <c r="D131" s="224"/>
      <c r="E131" s="95"/>
      <c r="F131" s="95"/>
      <c r="G131" s="95"/>
      <c r="H131" s="95"/>
      <c r="I131" s="95"/>
    </row>
    <row r="132" spans="3:9">
      <c r="C132" s="95"/>
      <c r="D132" s="224"/>
      <c r="E132" s="95"/>
      <c r="F132" s="95"/>
      <c r="G132" s="95"/>
      <c r="H132" s="95"/>
      <c r="I132" s="95"/>
    </row>
    <row r="133" spans="3:9">
      <c r="C133" s="95"/>
      <c r="D133" s="224"/>
      <c r="E133" s="95"/>
      <c r="F133" s="95"/>
      <c r="G133" s="95"/>
      <c r="H133" s="95"/>
      <c r="I133" s="95"/>
    </row>
    <row r="134" spans="3:9">
      <c r="C134" s="95"/>
      <c r="D134" s="224"/>
      <c r="E134" s="95"/>
      <c r="F134" s="95"/>
      <c r="G134" s="95"/>
      <c r="H134" s="95"/>
      <c r="I134" s="95"/>
    </row>
    <row r="135" spans="3:9">
      <c r="C135" s="95"/>
      <c r="D135" s="224"/>
      <c r="E135" s="95"/>
      <c r="F135" s="95"/>
      <c r="G135" s="95"/>
      <c r="H135" s="95"/>
      <c r="I135" s="95"/>
    </row>
    <row r="136" spans="3:9">
      <c r="C136" s="95"/>
      <c r="D136" s="224"/>
      <c r="E136" s="95"/>
      <c r="F136" s="95"/>
      <c r="G136" s="95"/>
      <c r="H136" s="95"/>
      <c r="I136" s="95"/>
    </row>
    <row r="137" spans="3:9">
      <c r="C137" s="95"/>
      <c r="D137" s="224"/>
      <c r="E137" s="95"/>
      <c r="F137" s="95"/>
      <c r="G137" s="95"/>
      <c r="H137" s="95"/>
      <c r="I137" s="95"/>
    </row>
    <row r="138" spans="3:9">
      <c r="C138" s="95"/>
      <c r="D138" s="224"/>
      <c r="E138" s="95"/>
      <c r="F138" s="95"/>
      <c r="G138" s="95"/>
      <c r="H138" s="95"/>
      <c r="I138" s="95"/>
    </row>
    <row r="139" spans="3:9">
      <c r="C139" s="95"/>
      <c r="D139" s="224"/>
      <c r="E139" s="95"/>
      <c r="F139" s="95"/>
      <c r="G139" s="95"/>
      <c r="H139" s="95"/>
      <c r="I139" s="95"/>
    </row>
    <row r="140" spans="3:9">
      <c r="C140" s="95"/>
      <c r="D140" s="224"/>
      <c r="E140" s="95"/>
      <c r="F140" s="95"/>
      <c r="G140" s="95"/>
      <c r="H140" s="95"/>
      <c r="I140" s="95"/>
    </row>
    <row r="141" spans="3:9">
      <c r="C141" s="95"/>
      <c r="D141" s="224"/>
      <c r="E141" s="95"/>
      <c r="F141" s="95"/>
      <c r="G141" s="95"/>
      <c r="H141" s="95"/>
      <c r="I141" s="95"/>
    </row>
    <row r="142" spans="3:9">
      <c r="C142" s="95"/>
      <c r="D142" s="224"/>
      <c r="E142" s="95"/>
      <c r="F142" s="95"/>
      <c r="G142" s="95"/>
      <c r="H142" s="95"/>
      <c r="I142" s="95"/>
    </row>
    <row r="143" spans="3:9">
      <c r="C143" s="95"/>
      <c r="D143" s="224"/>
      <c r="E143" s="95"/>
      <c r="F143" s="95"/>
      <c r="G143" s="95"/>
      <c r="H143" s="95"/>
      <c r="I143" s="95"/>
    </row>
    <row r="144" spans="3:9">
      <c r="C144" s="95"/>
      <c r="D144" s="224"/>
      <c r="E144" s="95"/>
      <c r="F144" s="95"/>
      <c r="G144" s="95"/>
      <c r="H144" s="95"/>
      <c r="I144" s="95"/>
    </row>
    <row r="145" spans="3:9">
      <c r="C145" s="95"/>
      <c r="D145" s="224"/>
      <c r="E145" s="95"/>
      <c r="F145" s="95"/>
      <c r="G145" s="95"/>
      <c r="H145" s="95"/>
      <c r="I145" s="95"/>
    </row>
    <row r="146" spans="3:9">
      <c r="C146" s="95"/>
      <c r="D146" s="224"/>
      <c r="E146" s="95"/>
      <c r="F146" s="95"/>
      <c r="G146" s="95"/>
      <c r="H146" s="95"/>
      <c r="I146" s="95"/>
    </row>
    <row r="147" spans="3:9">
      <c r="C147" s="95"/>
      <c r="D147" s="224"/>
      <c r="E147" s="95"/>
      <c r="F147" s="95"/>
      <c r="G147" s="95"/>
      <c r="H147" s="95"/>
      <c r="I147" s="95"/>
    </row>
    <row r="148" spans="3:9">
      <c r="C148" s="95"/>
      <c r="D148" s="224"/>
      <c r="E148" s="95"/>
      <c r="F148" s="95"/>
      <c r="G148" s="95"/>
      <c r="H148" s="95"/>
      <c r="I148" s="95"/>
    </row>
    <row r="149" spans="3:9">
      <c r="C149" s="95"/>
      <c r="D149" s="224"/>
      <c r="E149" s="95"/>
      <c r="F149" s="95"/>
      <c r="G149" s="95"/>
      <c r="H149" s="95"/>
      <c r="I149" s="95"/>
    </row>
    <row r="150" spans="3:9">
      <c r="C150" s="95"/>
      <c r="D150" s="224"/>
      <c r="E150" s="95"/>
      <c r="F150" s="95"/>
      <c r="G150" s="95"/>
      <c r="H150" s="95"/>
      <c r="I150" s="95"/>
    </row>
    <row r="151" spans="3:9">
      <c r="C151" s="95"/>
      <c r="D151" s="224"/>
      <c r="E151" s="95"/>
      <c r="F151" s="95"/>
      <c r="G151" s="95"/>
      <c r="H151" s="95"/>
      <c r="I151" s="95"/>
    </row>
    <row r="152" spans="3:9">
      <c r="C152" s="95"/>
      <c r="D152" s="224"/>
      <c r="E152" s="95"/>
      <c r="F152" s="95"/>
      <c r="G152" s="95"/>
      <c r="H152" s="95"/>
      <c r="I152" s="95"/>
    </row>
    <row r="153" spans="3:9">
      <c r="C153" s="95"/>
      <c r="D153" s="224"/>
      <c r="E153" s="95"/>
      <c r="F153" s="95"/>
      <c r="G153" s="95"/>
      <c r="H153" s="95"/>
      <c r="I153" s="95"/>
    </row>
    <row r="154" spans="3:9">
      <c r="C154" s="95"/>
      <c r="D154" s="224"/>
      <c r="E154" s="95"/>
      <c r="F154" s="95"/>
      <c r="G154" s="95"/>
      <c r="H154" s="95"/>
      <c r="I154" s="95"/>
    </row>
    <row r="155" spans="3:9">
      <c r="C155" s="95"/>
      <c r="D155" s="224"/>
      <c r="E155" s="95"/>
      <c r="F155" s="95"/>
      <c r="G155" s="95"/>
      <c r="H155" s="95"/>
      <c r="I155" s="95"/>
    </row>
    <row r="156" spans="3:9">
      <c r="C156" s="95"/>
      <c r="D156" s="224"/>
      <c r="E156" s="95"/>
      <c r="F156" s="95"/>
      <c r="G156" s="95"/>
      <c r="H156" s="95"/>
      <c r="I156" s="95"/>
    </row>
    <row r="157" spans="3:9">
      <c r="C157" s="95"/>
      <c r="D157" s="224"/>
      <c r="E157" s="95"/>
      <c r="F157" s="95"/>
      <c r="G157" s="95"/>
      <c r="H157" s="95"/>
      <c r="I157" s="95"/>
    </row>
    <row r="158" spans="3:9">
      <c r="C158" s="95"/>
      <c r="D158" s="224"/>
      <c r="E158" s="95"/>
      <c r="F158" s="95"/>
      <c r="G158" s="95"/>
      <c r="H158" s="95"/>
      <c r="I158" s="95"/>
    </row>
    <row r="159" spans="3:9">
      <c r="C159" s="95"/>
      <c r="D159" s="224"/>
      <c r="E159" s="95"/>
      <c r="F159" s="95"/>
      <c r="G159" s="95"/>
      <c r="H159" s="95"/>
      <c r="I159" s="95"/>
    </row>
    <row r="160" spans="3:9">
      <c r="C160" s="95"/>
      <c r="D160" s="224"/>
      <c r="E160" s="95"/>
      <c r="F160" s="95"/>
      <c r="G160" s="95"/>
      <c r="H160" s="95"/>
      <c r="I160" s="95"/>
    </row>
    <row r="161" spans="3:9">
      <c r="C161" s="95"/>
      <c r="D161" s="224"/>
      <c r="E161" s="95"/>
      <c r="F161" s="95"/>
      <c r="G161" s="95"/>
      <c r="H161" s="95"/>
      <c r="I161" s="95"/>
    </row>
    <row r="162" spans="3:9">
      <c r="C162" s="95"/>
      <c r="D162" s="224"/>
      <c r="E162" s="95"/>
      <c r="F162" s="95"/>
      <c r="G162" s="95"/>
      <c r="H162" s="95"/>
      <c r="I162" s="95"/>
    </row>
    <row r="163" spans="3:9">
      <c r="C163" s="95"/>
      <c r="D163" s="224"/>
      <c r="E163" s="95"/>
      <c r="F163" s="95"/>
      <c r="G163" s="95"/>
      <c r="H163" s="95"/>
      <c r="I163" s="95"/>
    </row>
    <row r="164" spans="3:9">
      <c r="C164" s="95"/>
      <c r="D164" s="224"/>
      <c r="E164" s="95"/>
      <c r="F164" s="95"/>
      <c r="G164" s="95"/>
      <c r="H164" s="95"/>
      <c r="I164" s="95"/>
    </row>
    <row r="165" spans="3:9">
      <c r="C165" s="95"/>
      <c r="D165" s="224"/>
      <c r="E165" s="95"/>
      <c r="F165" s="95"/>
      <c r="G165" s="95"/>
      <c r="H165" s="95"/>
      <c r="I165" s="95"/>
    </row>
    <row r="166" spans="3:9">
      <c r="C166" s="95"/>
      <c r="D166" s="224"/>
      <c r="E166" s="95"/>
      <c r="F166" s="95"/>
      <c r="G166" s="95"/>
      <c r="H166" s="95"/>
      <c r="I166" s="95"/>
    </row>
    <row r="167" spans="3:9">
      <c r="C167" s="95"/>
      <c r="D167" s="224"/>
      <c r="E167" s="95"/>
      <c r="F167" s="95"/>
      <c r="G167" s="95"/>
      <c r="H167" s="95"/>
      <c r="I167" s="95"/>
    </row>
    <row r="168" spans="3:9">
      <c r="C168" s="95"/>
      <c r="D168" s="224"/>
      <c r="E168" s="95"/>
      <c r="F168" s="95"/>
      <c r="G168" s="95"/>
      <c r="H168" s="95"/>
      <c r="I168" s="95"/>
    </row>
    <row r="169" spans="3:9">
      <c r="C169" s="95"/>
      <c r="D169" s="224"/>
      <c r="E169" s="95"/>
      <c r="F169" s="95"/>
      <c r="G169" s="95"/>
      <c r="H169" s="95"/>
      <c r="I169" s="95"/>
    </row>
    <row r="170" spans="3:9">
      <c r="C170" s="95"/>
      <c r="D170" s="224"/>
      <c r="E170" s="95"/>
      <c r="F170" s="95"/>
      <c r="G170" s="95"/>
      <c r="H170" s="95"/>
      <c r="I170" s="95"/>
    </row>
    <row r="171" spans="3:9">
      <c r="C171" s="95"/>
      <c r="D171" s="224"/>
      <c r="E171" s="95"/>
      <c r="F171" s="95"/>
      <c r="G171" s="95"/>
      <c r="H171" s="95"/>
      <c r="I171" s="95"/>
    </row>
    <row r="172" spans="3:9">
      <c r="C172" s="95"/>
      <c r="D172" s="224"/>
      <c r="E172" s="95"/>
      <c r="F172" s="95"/>
      <c r="G172" s="95"/>
      <c r="H172" s="95"/>
      <c r="I172" s="95"/>
    </row>
    <row r="173" spans="3:9">
      <c r="C173" s="95"/>
      <c r="D173" s="224"/>
      <c r="E173" s="95"/>
      <c r="F173" s="95"/>
      <c r="G173" s="95"/>
      <c r="H173" s="95"/>
      <c r="I173" s="95"/>
    </row>
    <row r="174" spans="3:9">
      <c r="C174" s="95"/>
      <c r="D174" s="224"/>
      <c r="E174" s="95"/>
      <c r="F174" s="95"/>
      <c r="G174" s="95"/>
      <c r="H174" s="95"/>
      <c r="I174" s="95"/>
    </row>
    <row r="175" spans="3:9">
      <c r="C175" s="95"/>
      <c r="D175" s="224"/>
      <c r="E175" s="95"/>
      <c r="F175" s="95"/>
      <c r="G175" s="95"/>
      <c r="H175" s="95"/>
      <c r="I175" s="95"/>
    </row>
    <row r="176" spans="3:9">
      <c r="C176" s="95"/>
      <c r="D176" s="224"/>
      <c r="E176" s="95"/>
      <c r="F176" s="95"/>
      <c r="G176" s="95"/>
      <c r="H176" s="95"/>
      <c r="I176" s="95"/>
    </row>
    <row r="177" spans="3:9">
      <c r="C177" s="95"/>
      <c r="D177" s="224"/>
      <c r="E177" s="95"/>
      <c r="F177" s="95"/>
      <c r="G177" s="95"/>
      <c r="H177" s="95"/>
      <c r="I177" s="95"/>
    </row>
    <row r="178" spans="3:9">
      <c r="C178" s="95"/>
      <c r="D178" s="224"/>
      <c r="E178" s="95"/>
      <c r="F178" s="95"/>
      <c r="G178" s="95"/>
      <c r="H178" s="95"/>
      <c r="I178" s="95"/>
    </row>
    <row r="179" spans="3:9">
      <c r="C179" s="95"/>
      <c r="D179" s="224"/>
      <c r="E179" s="95"/>
      <c r="F179" s="95"/>
      <c r="G179" s="95"/>
      <c r="H179" s="95"/>
      <c r="I179" s="95"/>
    </row>
    <row r="180" spans="3:9">
      <c r="C180" s="95"/>
      <c r="D180" s="224"/>
      <c r="E180" s="95"/>
      <c r="F180" s="95"/>
      <c r="G180" s="95"/>
      <c r="H180" s="95"/>
      <c r="I180" s="95"/>
    </row>
    <row r="181" spans="3:9">
      <c r="C181" s="95"/>
      <c r="D181" s="224"/>
      <c r="E181" s="95"/>
      <c r="F181" s="95"/>
      <c r="G181" s="95"/>
      <c r="H181" s="95"/>
      <c r="I181" s="95"/>
    </row>
    <row r="182" spans="3:9">
      <c r="C182" s="95"/>
      <c r="D182" s="224"/>
      <c r="E182" s="95"/>
      <c r="F182" s="95"/>
      <c r="G182" s="95"/>
      <c r="H182" s="95"/>
      <c r="I182" s="95"/>
    </row>
    <row r="183" spans="3:9">
      <c r="C183" s="95"/>
      <c r="D183" s="224"/>
      <c r="E183" s="95"/>
      <c r="F183" s="95"/>
      <c r="G183" s="95"/>
      <c r="H183" s="95"/>
      <c r="I183" s="95"/>
    </row>
    <row r="184" spans="3:9">
      <c r="C184" s="95"/>
      <c r="D184" s="224"/>
      <c r="E184" s="95"/>
      <c r="F184" s="95"/>
      <c r="G184" s="95"/>
      <c r="H184" s="95"/>
      <c r="I184" s="95"/>
    </row>
    <row r="185" spans="3:9">
      <c r="C185" s="95"/>
      <c r="D185" s="224"/>
      <c r="E185" s="95"/>
      <c r="F185" s="95"/>
      <c r="G185" s="95"/>
      <c r="H185" s="95"/>
      <c r="I185" s="95"/>
    </row>
    <row r="186" spans="3:9">
      <c r="C186" s="95"/>
      <c r="D186" s="224"/>
      <c r="E186" s="95"/>
      <c r="F186" s="95"/>
      <c r="G186" s="95"/>
      <c r="H186" s="95"/>
      <c r="I186" s="95"/>
    </row>
    <row r="187" spans="3:9">
      <c r="C187" s="95"/>
      <c r="D187" s="224"/>
      <c r="E187" s="95"/>
      <c r="F187" s="95"/>
      <c r="G187" s="95"/>
      <c r="H187" s="95"/>
      <c r="I187" s="95"/>
    </row>
    <row r="188" spans="3:9">
      <c r="C188" s="95"/>
      <c r="D188" s="224"/>
      <c r="E188" s="95"/>
      <c r="F188" s="95"/>
      <c r="G188" s="95"/>
      <c r="H188" s="95"/>
      <c r="I188" s="95"/>
    </row>
    <row r="189" spans="3:9">
      <c r="C189" s="95"/>
      <c r="D189" s="224"/>
      <c r="E189" s="95"/>
      <c r="F189" s="95"/>
      <c r="G189" s="95"/>
      <c r="H189" s="95"/>
      <c r="I189" s="95"/>
    </row>
    <row r="190" spans="3:9">
      <c r="C190" s="95"/>
      <c r="D190" s="224"/>
      <c r="E190" s="95"/>
      <c r="F190" s="95"/>
      <c r="G190" s="95"/>
      <c r="H190" s="95"/>
      <c r="I190" s="95"/>
    </row>
    <row r="191" spans="3:9">
      <c r="C191" s="95"/>
      <c r="D191" s="224"/>
      <c r="E191" s="95"/>
      <c r="F191" s="95"/>
      <c r="G191" s="95"/>
      <c r="H191" s="95"/>
      <c r="I191" s="95"/>
    </row>
    <row r="192" spans="3:9">
      <c r="C192" s="95"/>
      <c r="D192" s="224"/>
      <c r="E192" s="95"/>
      <c r="F192" s="95"/>
      <c r="G192" s="95"/>
      <c r="H192" s="95"/>
      <c r="I192" s="95"/>
    </row>
    <row r="193" spans="3:9">
      <c r="C193" s="95"/>
      <c r="D193" s="224"/>
      <c r="E193" s="95"/>
      <c r="F193" s="95"/>
      <c r="G193" s="95"/>
      <c r="H193" s="95"/>
      <c r="I193" s="95"/>
    </row>
    <row r="194" spans="3:9">
      <c r="C194" s="95"/>
      <c r="D194" s="224"/>
      <c r="E194" s="95"/>
      <c r="F194" s="95"/>
      <c r="G194" s="95"/>
      <c r="H194" s="95"/>
      <c r="I194" s="95"/>
    </row>
    <row r="195" spans="3:9">
      <c r="C195" s="95"/>
      <c r="D195" s="224"/>
      <c r="E195" s="95"/>
      <c r="F195" s="95"/>
      <c r="G195" s="95"/>
      <c r="H195" s="95"/>
      <c r="I195" s="95"/>
    </row>
    <row r="196" spans="3:9">
      <c r="C196" s="95"/>
      <c r="D196" s="224"/>
      <c r="E196" s="95"/>
      <c r="F196" s="95"/>
      <c r="G196" s="95"/>
      <c r="H196" s="95"/>
      <c r="I196" s="95"/>
    </row>
    <row r="197" spans="3:9">
      <c r="C197" s="95"/>
      <c r="D197" s="224"/>
      <c r="E197" s="95"/>
      <c r="F197" s="95"/>
      <c r="G197" s="95"/>
      <c r="H197" s="95"/>
      <c r="I197" s="95"/>
    </row>
    <row r="198" spans="3:9">
      <c r="C198" s="95"/>
      <c r="D198" s="224"/>
      <c r="E198" s="95"/>
      <c r="F198" s="95"/>
      <c r="G198" s="95"/>
      <c r="H198" s="95"/>
      <c r="I198" s="95"/>
    </row>
    <row r="199" spans="3:9">
      <c r="C199" s="95"/>
      <c r="D199" s="224"/>
      <c r="E199" s="95"/>
      <c r="F199" s="95"/>
      <c r="G199" s="95"/>
      <c r="H199" s="95"/>
      <c r="I199" s="95"/>
    </row>
    <row r="200" spans="3:9">
      <c r="C200" s="95"/>
      <c r="D200" s="224"/>
      <c r="E200" s="95"/>
      <c r="F200" s="95"/>
      <c r="G200" s="95"/>
      <c r="H200" s="95"/>
      <c r="I200" s="95"/>
    </row>
    <row r="201" spans="3:9">
      <c r="C201" s="95"/>
      <c r="D201" s="224"/>
      <c r="E201" s="95"/>
      <c r="F201" s="95"/>
      <c r="G201" s="95"/>
      <c r="H201" s="95"/>
      <c r="I201" s="95"/>
    </row>
    <row r="202" spans="3:9">
      <c r="C202" s="95"/>
      <c r="D202" s="224"/>
      <c r="E202" s="95"/>
      <c r="F202" s="95"/>
      <c r="G202" s="95"/>
      <c r="H202" s="95"/>
      <c r="I202" s="95"/>
    </row>
    <row r="203" spans="3:9">
      <c r="C203" s="95"/>
      <c r="D203" s="224"/>
      <c r="E203" s="95"/>
      <c r="F203" s="95"/>
      <c r="G203" s="95"/>
      <c r="H203" s="95"/>
      <c r="I203" s="95"/>
    </row>
    <row r="204" spans="3:9">
      <c r="C204" s="95"/>
      <c r="D204" s="224"/>
      <c r="E204" s="95"/>
      <c r="F204" s="95"/>
      <c r="G204" s="95"/>
      <c r="H204" s="95"/>
      <c r="I204" s="95"/>
    </row>
    <row r="205" spans="3:9">
      <c r="C205" s="95"/>
      <c r="D205" s="224"/>
      <c r="E205" s="95"/>
      <c r="F205" s="95"/>
      <c r="G205" s="95"/>
      <c r="H205" s="95"/>
      <c r="I205" s="95"/>
    </row>
    <row r="206" spans="3:9">
      <c r="C206" s="95"/>
      <c r="D206" s="224"/>
      <c r="E206" s="95"/>
      <c r="F206" s="95"/>
      <c r="G206" s="95"/>
      <c r="H206" s="95"/>
      <c r="I206" s="95"/>
    </row>
    <row r="207" spans="3:9">
      <c r="C207" s="95"/>
      <c r="D207" s="224"/>
      <c r="E207" s="95"/>
      <c r="F207" s="95"/>
      <c r="G207" s="95"/>
      <c r="H207" s="95"/>
      <c r="I207" s="95"/>
    </row>
    <row r="208" spans="3:9">
      <c r="C208" s="95"/>
      <c r="D208" s="224"/>
      <c r="E208" s="95"/>
      <c r="F208" s="95"/>
      <c r="G208" s="95"/>
      <c r="H208" s="95"/>
      <c r="I208" s="95"/>
    </row>
    <row r="209" spans="3:9">
      <c r="C209" s="95"/>
      <c r="D209" s="224"/>
      <c r="E209" s="95"/>
      <c r="F209" s="95"/>
      <c r="G209" s="95"/>
      <c r="H209" s="95"/>
      <c r="I209" s="95"/>
    </row>
    <row r="210" spans="3:9">
      <c r="C210" s="95"/>
      <c r="D210" s="224"/>
      <c r="E210" s="95"/>
      <c r="F210" s="95"/>
      <c r="G210" s="95"/>
      <c r="H210" s="95"/>
      <c r="I210" s="95"/>
    </row>
    <row r="211" spans="3:9">
      <c r="C211" s="95"/>
      <c r="D211" s="224"/>
      <c r="E211" s="95"/>
      <c r="F211" s="95"/>
      <c r="G211" s="95"/>
      <c r="H211" s="95"/>
      <c r="I211" s="95"/>
    </row>
    <row r="212" spans="3:9">
      <c r="C212" s="95"/>
      <c r="D212" s="224"/>
      <c r="E212" s="95"/>
      <c r="F212" s="95"/>
      <c r="G212" s="95"/>
      <c r="H212" s="95"/>
      <c r="I212" s="95"/>
    </row>
    <row r="213" spans="3:9">
      <c r="C213" s="95"/>
      <c r="D213" s="224"/>
      <c r="E213" s="95"/>
      <c r="F213" s="95"/>
      <c r="G213" s="95"/>
      <c r="H213" s="95"/>
      <c r="I213" s="95"/>
    </row>
    <row r="214" spans="3:9">
      <c r="C214" s="95"/>
      <c r="D214" s="224"/>
      <c r="E214" s="95"/>
      <c r="F214" s="95"/>
      <c r="G214" s="95"/>
      <c r="H214" s="95"/>
      <c r="I214" s="95"/>
    </row>
    <row r="215" spans="3:9">
      <c r="C215" s="95"/>
      <c r="D215" s="224"/>
      <c r="E215" s="95"/>
      <c r="F215" s="95"/>
      <c r="G215" s="95"/>
      <c r="H215" s="95"/>
      <c r="I215" s="95"/>
    </row>
    <row r="216" spans="3:9">
      <c r="C216" s="95"/>
      <c r="D216" s="224"/>
      <c r="E216" s="95"/>
      <c r="F216" s="95"/>
      <c r="G216" s="95"/>
      <c r="H216" s="95"/>
      <c r="I216" s="95"/>
    </row>
    <row r="217" spans="3:9">
      <c r="C217" s="95"/>
      <c r="D217" s="224"/>
      <c r="E217" s="95"/>
      <c r="F217" s="95"/>
      <c r="G217" s="95"/>
      <c r="H217" s="95"/>
      <c r="I217" s="95"/>
    </row>
    <row r="218" spans="3:9">
      <c r="C218" s="95"/>
      <c r="D218" s="224"/>
      <c r="E218" s="95"/>
      <c r="F218" s="95"/>
      <c r="G218" s="95"/>
      <c r="H218" s="95"/>
      <c r="I218" s="95"/>
    </row>
    <row r="219" spans="3:9">
      <c r="C219" s="95"/>
      <c r="D219" s="224"/>
      <c r="E219" s="95"/>
      <c r="F219" s="95"/>
      <c r="G219" s="95"/>
      <c r="H219" s="95"/>
      <c r="I219" s="95"/>
    </row>
    <row r="220" spans="3:9">
      <c r="C220" s="95"/>
      <c r="D220" s="224"/>
      <c r="E220" s="95"/>
      <c r="F220" s="95"/>
      <c r="G220" s="95"/>
      <c r="H220" s="95"/>
      <c r="I220" s="95"/>
    </row>
    <row r="221" spans="3:9">
      <c r="C221" s="95"/>
      <c r="D221" s="224"/>
      <c r="E221" s="95"/>
      <c r="F221" s="95"/>
      <c r="G221" s="95"/>
      <c r="H221" s="95"/>
      <c r="I221" s="95"/>
    </row>
    <row r="222" spans="3:9">
      <c r="C222" s="95"/>
      <c r="D222" s="224"/>
      <c r="E222" s="95"/>
      <c r="F222" s="95"/>
      <c r="G222" s="95"/>
      <c r="H222" s="95"/>
      <c r="I222" s="95"/>
    </row>
    <row r="223" spans="3:9">
      <c r="C223" s="95"/>
      <c r="D223" s="224"/>
      <c r="E223" s="95"/>
      <c r="F223" s="95"/>
      <c r="G223" s="95"/>
      <c r="H223" s="95"/>
      <c r="I223" s="95"/>
    </row>
    <row r="224" spans="3:9">
      <c r="C224" s="95"/>
      <c r="D224" s="224"/>
      <c r="E224" s="95"/>
      <c r="F224" s="95"/>
      <c r="G224" s="95"/>
      <c r="H224" s="95"/>
      <c r="I224" s="95"/>
    </row>
    <row r="225" spans="3:9">
      <c r="C225" s="95"/>
      <c r="D225" s="224"/>
      <c r="E225" s="95"/>
      <c r="F225" s="95"/>
      <c r="G225" s="95"/>
      <c r="H225" s="95"/>
      <c r="I225" s="95"/>
    </row>
    <row r="226" spans="3:9">
      <c r="C226" s="95"/>
      <c r="D226" s="224"/>
      <c r="E226" s="95"/>
      <c r="F226" s="95"/>
      <c r="G226" s="95"/>
      <c r="H226" s="95"/>
      <c r="I226" s="95"/>
    </row>
    <row r="227" spans="3:9">
      <c r="C227" s="95"/>
      <c r="D227" s="224"/>
      <c r="E227" s="95"/>
      <c r="F227" s="95"/>
      <c r="G227" s="95"/>
      <c r="H227" s="95"/>
      <c r="I227" s="95"/>
    </row>
    <row r="228" spans="3:9">
      <c r="C228" s="95"/>
      <c r="D228" s="224"/>
      <c r="E228" s="95"/>
      <c r="F228" s="95"/>
      <c r="G228" s="95"/>
      <c r="H228" s="95"/>
      <c r="I228" s="95"/>
    </row>
    <row r="229" spans="3:9">
      <c r="C229" s="95"/>
      <c r="D229" s="224"/>
      <c r="E229" s="95"/>
      <c r="F229" s="95"/>
      <c r="G229" s="95"/>
      <c r="H229" s="95"/>
      <c r="I229" s="95"/>
    </row>
    <row r="230" spans="3:9">
      <c r="C230" s="95"/>
      <c r="D230" s="224"/>
      <c r="E230" s="95"/>
      <c r="F230" s="95"/>
      <c r="G230" s="95"/>
      <c r="H230" s="95"/>
      <c r="I230" s="95"/>
    </row>
    <row r="231" spans="3:9">
      <c r="C231" s="95"/>
      <c r="D231" s="224"/>
      <c r="E231" s="95"/>
      <c r="F231" s="95"/>
      <c r="G231" s="95"/>
      <c r="H231" s="95"/>
      <c r="I231" s="95"/>
    </row>
    <row r="232" spans="3:9">
      <c r="C232" s="95"/>
      <c r="D232" s="224"/>
      <c r="E232" s="95"/>
      <c r="F232" s="95"/>
      <c r="G232" s="95"/>
      <c r="H232" s="95"/>
      <c r="I232" s="95"/>
    </row>
    <row r="233" spans="3:9">
      <c r="C233" s="95"/>
      <c r="D233" s="224"/>
      <c r="E233" s="95"/>
      <c r="F233" s="95"/>
      <c r="G233" s="95"/>
      <c r="H233" s="95"/>
      <c r="I233" s="95"/>
    </row>
    <row r="234" spans="3:9">
      <c r="C234" s="95"/>
      <c r="D234" s="224"/>
      <c r="E234" s="95"/>
      <c r="F234" s="95"/>
      <c r="G234" s="95"/>
      <c r="H234" s="95"/>
      <c r="I234" s="95"/>
    </row>
    <row r="235" spans="3:9">
      <c r="C235" s="95"/>
      <c r="D235" s="224"/>
      <c r="E235" s="95"/>
      <c r="F235" s="95"/>
      <c r="G235" s="95"/>
      <c r="H235" s="95"/>
      <c r="I235" s="95"/>
    </row>
    <row r="236" spans="3:9">
      <c r="C236" s="95"/>
      <c r="D236" s="224"/>
      <c r="E236" s="95"/>
      <c r="F236" s="95"/>
      <c r="G236" s="95"/>
      <c r="H236" s="95"/>
      <c r="I236" s="95"/>
    </row>
    <row r="237" spans="3:9">
      <c r="C237" s="95"/>
      <c r="D237" s="224"/>
      <c r="E237" s="95"/>
      <c r="F237" s="95"/>
      <c r="G237" s="95"/>
      <c r="H237" s="95"/>
      <c r="I237" s="95"/>
    </row>
    <row r="238" spans="3:9">
      <c r="C238" s="95"/>
      <c r="D238" s="224"/>
      <c r="E238" s="95"/>
      <c r="F238" s="95"/>
      <c r="G238" s="95"/>
      <c r="H238" s="95"/>
      <c r="I238" s="95"/>
    </row>
    <row r="239" spans="3:9">
      <c r="C239" s="95"/>
      <c r="D239" s="224"/>
      <c r="E239" s="95"/>
      <c r="F239" s="95"/>
      <c r="G239" s="95"/>
      <c r="H239" s="95"/>
      <c r="I239" s="95"/>
    </row>
    <row r="240" spans="3:9">
      <c r="C240" s="95"/>
      <c r="D240" s="224"/>
      <c r="E240" s="95"/>
      <c r="F240" s="95"/>
      <c r="G240" s="95"/>
      <c r="H240" s="95"/>
      <c r="I240" s="95"/>
    </row>
    <row r="241" spans="3:9">
      <c r="C241" s="95"/>
      <c r="D241" s="224"/>
      <c r="E241" s="95"/>
      <c r="F241" s="95"/>
      <c r="G241" s="95"/>
      <c r="H241" s="95"/>
      <c r="I241" s="95"/>
    </row>
    <row r="242" spans="3:9">
      <c r="C242" s="95"/>
      <c r="D242" s="224"/>
      <c r="E242" s="95"/>
      <c r="F242" s="95"/>
      <c r="G242" s="95"/>
      <c r="H242" s="95"/>
      <c r="I242" s="95"/>
    </row>
    <row r="243" spans="3:9">
      <c r="C243" s="95"/>
      <c r="D243" s="224"/>
      <c r="E243" s="95"/>
      <c r="F243" s="95"/>
      <c r="G243" s="95"/>
      <c r="H243" s="95"/>
      <c r="I243" s="95"/>
    </row>
    <row r="244" spans="3:9">
      <c r="C244" s="95"/>
      <c r="D244" s="224"/>
      <c r="E244" s="95"/>
      <c r="F244" s="95"/>
      <c r="G244" s="95"/>
      <c r="H244" s="95"/>
      <c r="I244" s="95"/>
    </row>
    <row r="245" spans="3:9">
      <c r="C245" s="95"/>
      <c r="D245" s="224"/>
      <c r="E245" s="95"/>
      <c r="F245" s="95"/>
      <c r="G245" s="95"/>
      <c r="H245" s="95"/>
      <c r="I245" s="95"/>
    </row>
    <row r="246" spans="3:9">
      <c r="C246" s="95"/>
      <c r="D246" s="224"/>
      <c r="E246" s="95"/>
      <c r="F246" s="95"/>
      <c r="G246" s="95"/>
      <c r="H246" s="95"/>
      <c r="I246" s="95"/>
    </row>
    <row r="247" spans="3:9">
      <c r="C247" s="95"/>
      <c r="D247" s="224"/>
      <c r="E247" s="95"/>
      <c r="F247" s="95"/>
      <c r="G247" s="95"/>
      <c r="H247" s="95"/>
      <c r="I247" s="95"/>
    </row>
    <row r="248" spans="3:9">
      <c r="C248" s="95"/>
      <c r="D248" s="224"/>
      <c r="E248" s="95"/>
      <c r="F248" s="95"/>
      <c r="G248" s="95"/>
      <c r="H248" s="95"/>
      <c r="I248" s="95"/>
    </row>
    <row r="249" spans="3:9">
      <c r="C249" s="95"/>
      <c r="D249" s="224"/>
      <c r="E249" s="95"/>
      <c r="F249" s="95"/>
      <c r="G249" s="95"/>
      <c r="H249" s="95"/>
      <c r="I249" s="95"/>
    </row>
    <row r="250" spans="3:9">
      <c r="C250" s="95"/>
      <c r="D250" s="224"/>
      <c r="E250" s="95"/>
      <c r="F250" s="95"/>
      <c r="G250" s="95"/>
      <c r="H250" s="95"/>
      <c r="I250" s="95"/>
    </row>
    <row r="251" spans="3:9">
      <c r="C251" s="95"/>
      <c r="D251" s="224"/>
      <c r="E251" s="95"/>
      <c r="F251" s="95"/>
      <c r="G251" s="95"/>
      <c r="H251" s="95"/>
      <c r="I251" s="95"/>
    </row>
    <row r="252" spans="3:9">
      <c r="C252" s="95"/>
      <c r="D252" s="224"/>
      <c r="E252" s="95"/>
      <c r="F252" s="95"/>
      <c r="G252" s="95"/>
      <c r="H252" s="95"/>
      <c r="I252" s="95"/>
    </row>
    <row r="253" spans="3:9">
      <c r="C253" s="95"/>
      <c r="D253" s="224"/>
      <c r="E253" s="95"/>
      <c r="F253" s="95"/>
      <c r="G253" s="95"/>
      <c r="H253" s="95"/>
      <c r="I253" s="95"/>
    </row>
    <row r="254" spans="3:9">
      <c r="C254" s="95"/>
      <c r="D254" s="224"/>
      <c r="E254" s="95"/>
      <c r="F254" s="95"/>
      <c r="G254" s="95"/>
      <c r="H254" s="95"/>
      <c r="I254" s="95"/>
    </row>
    <row r="255" spans="3:9">
      <c r="C255" s="95"/>
      <c r="D255" s="224"/>
      <c r="E255" s="95"/>
      <c r="F255" s="95"/>
      <c r="G255" s="95"/>
      <c r="H255" s="95"/>
      <c r="I255" s="95"/>
    </row>
    <row r="256" spans="3:9">
      <c r="C256" s="95"/>
      <c r="D256" s="224"/>
      <c r="E256" s="95"/>
      <c r="F256" s="95"/>
      <c r="G256" s="95"/>
      <c r="H256" s="95"/>
      <c r="I256" s="95"/>
    </row>
    <row r="257" spans="3:9">
      <c r="C257" s="95"/>
      <c r="D257" s="224"/>
      <c r="E257" s="95"/>
      <c r="F257" s="95"/>
      <c r="G257" s="95"/>
      <c r="H257" s="95"/>
      <c r="I257" s="95"/>
    </row>
    <row r="258" spans="3:9">
      <c r="C258" s="95"/>
      <c r="D258" s="224"/>
      <c r="E258" s="95"/>
      <c r="F258" s="95"/>
      <c r="G258" s="95"/>
      <c r="H258" s="95"/>
      <c r="I258" s="95"/>
    </row>
    <row r="259" spans="3:9">
      <c r="C259" s="95"/>
      <c r="D259" s="224"/>
      <c r="E259" s="95"/>
      <c r="F259" s="95"/>
      <c r="G259" s="95"/>
      <c r="H259" s="95"/>
      <c r="I259" s="95"/>
    </row>
    <row r="260" spans="3:9">
      <c r="C260" s="95"/>
      <c r="D260" s="224"/>
      <c r="E260" s="95"/>
      <c r="F260" s="95"/>
      <c r="G260" s="95"/>
      <c r="H260" s="95"/>
      <c r="I260" s="95"/>
    </row>
    <row r="261" spans="3:9">
      <c r="C261" s="95"/>
      <c r="D261" s="224"/>
      <c r="E261" s="95"/>
      <c r="F261" s="95"/>
      <c r="G261" s="95"/>
      <c r="H261" s="95"/>
      <c r="I261" s="95"/>
    </row>
    <row r="262" spans="3:9">
      <c r="C262" s="95"/>
      <c r="D262" s="224"/>
      <c r="E262" s="95"/>
      <c r="F262" s="95"/>
      <c r="G262" s="95"/>
      <c r="H262" s="95"/>
      <c r="I262" s="95"/>
    </row>
    <row r="263" spans="3:9">
      <c r="C263" s="95"/>
      <c r="D263" s="224"/>
      <c r="E263" s="95"/>
      <c r="F263" s="95"/>
      <c r="G263" s="95"/>
      <c r="H263" s="95"/>
      <c r="I263" s="95"/>
    </row>
    <row r="264" spans="3:9">
      <c r="C264" s="95"/>
      <c r="D264" s="224"/>
      <c r="E264" s="95"/>
      <c r="F264" s="95"/>
      <c r="G264" s="95"/>
      <c r="H264" s="95"/>
      <c r="I264" s="95"/>
    </row>
    <row r="265" spans="3:9">
      <c r="C265" s="95"/>
      <c r="D265" s="224"/>
      <c r="E265" s="95"/>
      <c r="F265" s="95"/>
      <c r="G265" s="95"/>
      <c r="H265" s="95"/>
      <c r="I265" s="95"/>
    </row>
    <row r="266" spans="3:9">
      <c r="C266" s="95"/>
      <c r="D266" s="224"/>
      <c r="E266" s="95"/>
      <c r="F266" s="95"/>
      <c r="G266" s="95"/>
      <c r="H266" s="95"/>
      <c r="I266" s="95"/>
    </row>
    <row r="267" spans="3:9">
      <c r="C267" s="95"/>
      <c r="D267" s="224"/>
      <c r="E267" s="95"/>
      <c r="F267" s="95"/>
      <c r="G267" s="95"/>
      <c r="H267" s="95"/>
      <c r="I267" s="95"/>
    </row>
    <row r="268" spans="3:9">
      <c r="C268" s="95"/>
      <c r="D268" s="224"/>
      <c r="E268" s="95"/>
      <c r="F268" s="95"/>
      <c r="G268" s="95"/>
      <c r="H268" s="95"/>
      <c r="I268" s="95"/>
    </row>
    <row r="269" spans="3:9">
      <c r="C269" s="95"/>
      <c r="D269" s="224"/>
      <c r="E269" s="95"/>
      <c r="F269" s="95"/>
      <c r="G269" s="95"/>
      <c r="H269" s="95"/>
      <c r="I269" s="95"/>
    </row>
    <row r="270" spans="3:9">
      <c r="C270" s="95"/>
      <c r="D270" s="224"/>
      <c r="E270" s="95"/>
      <c r="F270" s="95"/>
      <c r="G270" s="95"/>
      <c r="H270" s="95"/>
      <c r="I270" s="95"/>
    </row>
    <row r="271" spans="3:9">
      <c r="C271" s="95"/>
      <c r="D271" s="224"/>
      <c r="E271" s="95"/>
      <c r="F271" s="95"/>
      <c r="G271" s="95"/>
      <c r="H271" s="95"/>
      <c r="I271" s="95"/>
    </row>
    <row r="272" spans="3:9">
      <c r="C272" s="95"/>
      <c r="D272" s="224"/>
      <c r="E272" s="95"/>
      <c r="F272" s="95"/>
      <c r="G272" s="95"/>
      <c r="H272" s="95"/>
      <c r="I272" s="95"/>
    </row>
    <row r="273" spans="3:9">
      <c r="C273" s="95"/>
      <c r="D273" s="224"/>
      <c r="E273" s="95"/>
      <c r="F273" s="95"/>
      <c r="G273" s="95"/>
      <c r="H273" s="95"/>
      <c r="I273" s="95"/>
    </row>
    <row r="274" spans="3:9">
      <c r="C274" s="95"/>
      <c r="D274" s="224"/>
      <c r="E274" s="95"/>
      <c r="F274" s="95"/>
      <c r="G274" s="95"/>
      <c r="H274" s="95"/>
      <c r="I274" s="95"/>
    </row>
    <row r="275" spans="3:9">
      <c r="C275" s="95"/>
      <c r="D275" s="224"/>
      <c r="E275" s="95"/>
      <c r="F275" s="95"/>
      <c r="G275" s="95"/>
      <c r="H275" s="95"/>
      <c r="I275" s="95"/>
    </row>
    <row r="276" spans="3:9">
      <c r="C276" s="95"/>
      <c r="D276" s="224"/>
      <c r="E276" s="95"/>
      <c r="F276" s="95"/>
      <c r="G276" s="95"/>
      <c r="H276" s="95"/>
      <c r="I276" s="95"/>
    </row>
    <row r="277" spans="3:9">
      <c r="C277" s="95"/>
      <c r="D277" s="224"/>
      <c r="E277" s="95"/>
      <c r="F277" s="95"/>
      <c r="G277" s="95"/>
      <c r="H277" s="95"/>
      <c r="I277" s="95"/>
    </row>
    <row r="278" spans="3:9">
      <c r="C278" s="95"/>
      <c r="D278" s="224"/>
      <c r="E278" s="95"/>
      <c r="F278" s="95"/>
      <c r="G278" s="95"/>
      <c r="H278" s="95"/>
      <c r="I278" s="95"/>
    </row>
    <row r="279" spans="3:9">
      <c r="C279" s="95"/>
      <c r="D279" s="224"/>
      <c r="E279" s="95"/>
      <c r="F279" s="95"/>
      <c r="G279" s="95"/>
      <c r="H279" s="95"/>
      <c r="I279" s="95"/>
    </row>
    <row r="280" spans="3:9">
      <c r="C280" s="95"/>
      <c r="D280" s="224"/>
      <c r="E280" s="95"/>
      <c r="F280" s="95"/>
      <c r="G280" s="95"/>
      <c r="H280" s="95"/>
      <c r="I280" s="95"/>
    </row>
    <row r="281" spans="3:9">
      <c r="C281" s="95"/>
      <c r="D281" s="224"/>
      <c r="E281" s="95"/>
      <c r="F281" s="95"/>
      <c r="G281" s="95"/>
      <c r="H281" s="95"/>
      <c r="I281" s="95"/>
    </row>
    <row r="282" spans="3:9">
      <c r="C282" s="95"/>
      <c r="D282" s="224"/>
      <c r="E282" s="95"/>
      <c r="F282" s="95"/>
      <c r="G282" s="95"/>
      <c r="H282" s="95"/>
      <c r="I282" s="95"/>
    </row>
    <row r="283" spans="3:9">
      <c r="C283" s="95"/>
      <c r="D283" s="224"/>
      <c r="E283" s="95"/>
      <c r="F283" s="95"/>
      <c r="G283" s="95"/>
      <c r="H283" s="95"/>
      <c r="I283" s="95"/>
    </row>
    <row r="284" spans="3:9">
      <c r="C284" s="95"/>
      <c r="D284" s="224"/>
      <c r="E284" s="95"/>
      <c r="F284" s="95"/>
      <c r="G284" s="95"/>
      <c r="H284" s="95"/>
      <c r="I284" s="95"/>
    </row>
    <row r="285" spans="3:9">
      <c r="C285" s="95"/>
      <c r="D285" s="224"/>
      <c r="E285" s="95"/>
      <c r="F285" s="95"/>
      <c r="G285" s="95"/>
      <c r="H285" s="95"/>
      <c r="I285" s="95"/>
    </row>
    <row r="286" spans="3:9">
      <c r="C286" s="95"/>
      <c r="D286" s="224"/>
      <c r="E286" s="95"/>
      <c r="F286" s="95"/>
      <c r="G286" s="95"/>
      <c r="H286" s="95"/>
      <c r="I286" s="95"/>
    </row>
    <row r="287" spans="3:9">
      <c r="C287" s="95"/>
      <c r="D287" s="224"/>
      <c r="E287" s="95"/>
      <c r="F287" s="95"/>
      <c r="G287" s="95"/>
      <c r="H287" s="95"/>
      <c r="I287" s="95"/>
    </row>
    <row r="288" spans="3:9">
      <c r="C288" s="95"/>
      <c r="D288" s="224"/>
      <c r="E288" s="95"/>
      <c r="F288" s="95"/>
      <c r="G288" s="95"/>
      <c r="H288" s="95"/>
      <c r="I288" s="95"/>
    </row>
    <row r="289" spans="3:9">
      <c r="C289" s="95"/>
      <c r="D289" s="224"/>
      <c r="E289" s="95"/>
      <c r="F289" s="95"/>
      <c r="G289" s="95"/>
      <c r="H289" s="95"/>
      <c r="I289" s="95"/>
    </row>
    <row r="290" spans="3:9">
      <c r="C290" s="95"/>
      <c r="D290" s="224"/>
      <c r="E290" s="95"/>
      <c r="F290" s="95"/>
      <c r="G290" s="95"/>
      <c r="H290" s="95"/>
      <c r="I290" s="95"/>
    </row>
    <row r="291" spans="3:9">
      <c r="C291" s="95"/>
      <c r="D291" s="224"/>
      <c r="E291" s="95"/>
      <c r="F291" s="95"/>
      <c r="G291" s="95"/>
      <c r="H291" s="95"/>
      <c r="I291" s="95"/>
    </row>
    <row r="292" spans="3:9">
      <c r="C292" s="95"/>
      <c r="D292" s="224"/>
      <c r="E292" s="95"/>
      <c r="F292" s="95"/>
      <c r="G292" s="95"/>
      <c r="H292" s="95"/>
      <c r="I292" s="95"/>
    </row>
    <row r="293" spans="3:9">
      <c r="C293" s="95"/>
      <c r="D293" s="224"/>
      <c r="E293" s="95"/>
      <c r="F293" s="95"/>
      <c r="G293" s="95"/>
      <c r="H293" s="95"/>
      <c r="I293" s="95"/>
    </row>
    <row r="294" spans="3:9">
      <c r="C294" s="95"/>
      <c r="D294" s="224"/>
      <c r="E294" s="95"/>
      <c r="F294" s="95"/>
      <c r="G294" s="95"/>
      <c r="H294" s="95"/>
      <c r="I294" s="95"/>
    </row>
    <row r="295" spans="3:9">
      <c r="C295" s="95"/>
      <c r="D295" s="224"/>
      <c r="E295" s="95"/>
      <c r="F295" s="95"/>
      <c r="G295" s="95"/>
      <c r="H295" s="95"/>
      <c r="I295" s="95"/>
    </row>
    <row r="296" spans="3:9">
      <c r="C296" s="95"/>
      <c r="D296" s="224"/>
      <c r="E296" s="95"/>
      <c r="F296" s="95"/>
      <c r="G296" s="95"/>
      <c r="H296" s="95"/>
      <c r="I296" s="95"/>
    </row>
    <row r="297" spans="3:9">
      <c r="C297" s="95"/>
      <c r="D297" s="224"/>
      <c r="E297" s="95"/>
      <c r="F297" s="95"/>
      <c r="G297" s="95"/>
      <c r="H297" s="95"/>
      <c r="I297" s="95"/>
    </row>
    <row r="298" spans="3:9">
      <c r="C298" s="95"/>
      <c r="D298" s="224"/>
      <c r="E298" s="95"/>
      <c r="F298" s="95"/>
      <c r="G298" s="95"/>
      <c r="H298" s="95"/>
      <c r="I298" s="95"/>
    </row>
    <row r="299" spans="3:9">
      <c r="C299" s="95"/>
      <c r="D299" s="224"/>
      <c r="E299" s="95"/>
      <c r="F299" s="95"/>
      <c r="G299" s="95"/>
      <c r="H299" s="95"/>
      <c r="I299" s="95"/>
    </row>
    <row r="300" spans="3:9">
      <c r="C300" s="95"/>
      <c r="D300" s="224"/>
      <c r="E300" s="95"/>
      <c r="F300" s="95"/>
      <c r="G300" s="95"/>
      <c r="H300" s="95"/>
      <c r="I300" s="95"/>
    </row>
    <row r="301" spans="3:9">
      <c r="C301" s="95"/>
      <c r="D301" s="224"/>
      <c r="E301" s="95"/>
      <c r="F301" s="95"/>
      <c r="G301" s="95"/>
      <c r="H301" s="95"/>
      <c r="I301" s="95"/>
    </row>
    <row r="302" spans="3:9">
      <c r="C302" s="95"/>
      <c r="D302" s="224"/>
      <c r="E302" s="95"/>
      <c r="F302" s="95"/>
      <c r="G302" s="95"/>
      <c r="H302" s="95"/>
      <c r="I302" s="95"/>
    </row>
    <row r="303" spans="3:9">
      <c r="C303" s="95"/>
      <c r="D303" s="224"/>
      <c r="E303" s="95"/>
      <c r="F303" s="95"/>
      <c r="G303" s="95"/>
      <c r="H303" s="95"/>
      <c r="I303" s="95"/>
    </row>
    <row r="304" spans="3:9">
      <c r="C304" s="95"/>
      <c r="D304" s="224"/>
      <c r="E304" s="95"/>
      <c r="F304" s="95"/>
      <c r="G304" s="95"/>
      <c r="H304" s="95"/>
      <c r="I304" s="95"/>
    </row>
    <row r="305" spans="3:9">
      <c r="C305" s="95"/>
      <c r="D305" s="224"/>
      <c r="E305" s="95"/>
      <c r="F305" s="95"/>
      <c r="G305" s="95"/>
      <c r="H305" s="95"/>
      <c r="I305" s="95"/>
    </row>
    <row r="306" spans="3:9">
      <c r="C306" s="95"/>
      <c r="D306" s="224"/>
      <c r="E306" s="95"/>
      <c r="F306" s="95"/>
      <c r="G306" s="95"/>
      <c r="H306" s="95"/>
      <c r="I306" s="95"/>
    </row>
    <row r="307" spans="3:9">
      <c r="C307" s="95"/>
      <c r="D307" s="224"/>
      <c r="E307" s="95"/>
      <c r="F307" s="95"/>
      <c r="G307" s="95"/>
      <c r="H307" s="95"/>
      <c r="I307" s="95"/>
    </row>
    <row r="308" spans="3:9">
      <c r="C308" s="95"/>
      <c r="D308" s="224"/>
      <c r="E308" s="95"/>
      <c r="F308" s="95"/>
      <c r="G308" s="95"/>
      <c r="H308" s="95"/>
      <c r="I308" s="95"/>
    </row>
    <row r="309" spans="3:9">
      <c r="C309" s="95"/>
      <c r="D309" s="224"/>
      <c r="E309" s="95"/>
      <c r="F309" s="95"/>
      <c r="G309" s="95"/>
      <c r="H309" s="95"/>
      <c r="I309" s="95"/>
    </row>
    <row r="310" spans="3:9">
      <c r="C310" s="95"/>
      <c r="D310" s="224"/>
      <c r="E310" s="95"/>
      <c r="F310" s="95"/>
      <c r="G310" s="95"/>
      <c r="H310" s="95"/>
      <c r="I310" s="95"/>
    </row>
    <row r="311" spans="3:9">
      <c r="C311" s="95"/>
      <c r="D311" s="224"/>
      <c r="E311" s="95"/>
      <c r="F311" s="95"/>
      <c r="G311" s="95"/>
      <c r="H311" s="95"/>
      <c r="I311" s="95"/>
    </row>
    <row r="312" spans="3:9">
      <c r="C312" s="95"/>
      <c r="D312" s="224"/>
      <c r="E312" s="95"/>
      <c r="F312" s="95"/>
      <c r="G312" s="95"/>
      <c r="H312" s="95"/>
      <c r="I312" s="95"/>
    </row>
    <row r="313" spans="3:9">
      <c r="C313" s="95"/>
      <c r="D313" s="224"/>
      <c r="E313" s="95"/>
      <c r="F313" s="95"/>
      <c r="G313" s="95"/>
      <c r="H313" s="95"/>
      <c r="I313" s="95"/>
    </row>
    <row r="314" spans="3:9">
      <c r="C314" s="95"/>
      <c r="D314" s="224"/>
      <c r="E314" s="95"/>
      <c r="F314" s="95"/>
      <c r="G314" s="95"/>
      <c r="H314" s="95"/>
      <c r="I314" s="95"/>
    </row>
    <row r="315" spans="3:9">
      <c r="C315" s="95"/>
      <c r="D315" s="224"/>
      <c r="E315" s="95"/>
      <c r="F315" s="95"/>
      <c r="G315" s="95"/>
      <c r="H315" s="95"/>
      <c r="I315" s="95"/>
    </row>
    <row r="316" spans="3:9">
      <c r="C316" s="95"/>
      <c r="D316" s="224"/>
      <c r="E316" s="95"/>
      <c r="F316" s="95"/>
      <c r="G316" s="95"/>
      <c r="H316" s="95"/>
      <c r="I316" s="95"/>
    </row>
    <row r="317" spans="3:9">
      <c r="C317" s="95"/>
      <c r="D317" s="224"/>
      <c r="E317" s="95"/>
      <c r="F317" s="95"/>
      <c r="G317" s="95"/>
      <c r="H317" s="95"/>
      <c r="I317" s="95"/>
    </row>
    <row r="318" spans="3:9">
      <c r="C318" s="95"/>
      <c r="D318" s="224"/>
      <c r="E318" s="95"/>
      <c r="F318" s="95"/>
      <c r="G318" s="95"/>
      <c r="H318" s="95"/>
      <c r="I318" s="95"/>
    </row>
    <row r="319" spans="3:9">
      <c r="C319" s="95"/>
      <c r="D319" s="224"/>
      <c r="E319" s="95"/>
      <c r="F319" s="95"/>
      <c r="G319" s="95"/>
      <c r="H319" s="95"/>
      <c r="I319" s="95"/>
    </row>
    <row r="320" spans="3:9">
      <c r="C320" s="95"/>
      <c r="D320" s="224"/>
      <c r="E320" s="95"/>
      <c r="F320" s="95"/>
      <c r="G320" s="95"/>
      <c r="H320" s="95"/>
      <c r="I320" s="95"/>
    </row>
    <row r="321" spans="3:9">
      <c r="C321" s="95"/>
      <c r="D321" s="224"/>
      <c r="E321" s="95"/>
      <c r="F321" s="95"/>
      <c r="G321" s="95"/>
      <c r="H321" s="95"/>
      <c r="I321" s="95"/>
    </row>
    <row r="322" spans="3:9">
      <c r="C322" s="95"/>
      <c r="D322" s="224"/>
      <c r="E322" s="95"/>
      <c r="F322" s="95"/>
      <c r="G322" s="95"/>
      <c r="H322" s="95"/>
      <c r="I322" s="95"/>
    </row>
    <row r="323" spans="3:9">
      <c r="C323" s="95"/>
      <c r="D323" s="224"/>
      <c r="E323" s="95"/>
      <c r="F323" s="95"/>
      <c r="G323" s="95"/>
      <c r="H323" s="95"/>
      <c r="I323" s="95"/>
    </row>
    <row r="324" spans="3:9">
      <c r="C324" s="95"/>
      <c r="D324" s="224"/>
      <c r="E324" s="95"/>
      <c r="F324" s="95"/>
      <c r="G324" s="95"/>
      <c r="H324" s="95"/>
      <c r="I324" s="95"/>
    </row>
    <row r="325" spans="3:9">
      <c r="C325" s="95"/>
      <c r="D325" s="224"/>
      <c r="E325" s="95"/>
      <c r="F325" s="95"/>
      <c r="G325" s="95"/>
      <c r="H325" s="95"/>
      <c r="I325" s="95"/>
    </row>
    <row r="326" spans="3:9">
      <c r="C326" s="95"/>
      <c r="D326" s="224"/>
      <c r="E326" s="95"/>
      <c r="F326" s="95"/>
      <c r="G326" s="95"/>
      <c r="H326" s="95"/>
      <c r="I326" s="95"/>
    </row>
    <row r="327" spans="3:9">
      <c r="C327" s="95"/>
      <c r="D327" s="224"/>
      <c r="E327" s="95"/>
      <c r="F327" s="95"/>
      <c r="G327" s="95"/>
      <c r="H327" s="95"/>
      <c r="I327" s="95"/>
    </row>
    <row r="328" spans="3:9">
      <c r="C328" s="95"/>
      <c r="D328" s="224"/>
      <c r="E328" s="95"/>
      <c r="F328" s="95"/>
      <c r="G328" s="95"/>
      <c r="H328" s="95"/>
      <c r="I328" s="95"/>
    </row>
    <row r="329" spans="3:9">
      <c r="C329" s="95"/>
      <c r="D329" s="224"/>
      <c r="E329" s="95"/>
      <c r="F329" s="95"/>
      <c r="G329" s="95"/>
      <c r="H329" s="95"/>
      <c r="I329" s="95"/>
    </row>
    <row r="330" spans="3:9">
      <c r="C330" s="95"/>
      <c r="D330" s="224"/>
      <c r="E330" s="95"/>
      <c r="F330" s="95"/>
      <c r="G330" s="95"/>
      <c r="H330" s="95"/>
      <c r="I330" s="95"/>
    </row>
    <row r="331" spans="3:9">
      <c r="C331" s="95"/>
      <c r="D331" s="224"/>
      <c r="E331" s="95"/>
      <c r="F331" s="95"/>
      <c r="G331" s="95"/>
      <c r="H331" s="95"/>
      <c r="I331" s="95"/>
    </row>
    <row r="332" spans="3:9">
      <c r="C332" s="95"/>
      <c r="D332" s="224"/>
      <c r="E332" s="95"/>
      <c r="F332" s="95"/>
      <c r="G332" s="95"/>
      <c r="H332" s="95"/>
      <c r="I332" s="95"/>
    </row>
    <row r="333" spans="3:9">
      <c r="C333" s="95"/>
      <c r="D333" s="224"/>
      <c r="E333" s="95"/>
      <c r="F333" s="95"/>
      <c r="G333" s="95"/>
      <c r="H333" s="95"/>
      <c r="I333" s="95"/>
    </row>
    <row r="334" spans="3:9">
      <c r="C334" s="95"/>
      <c r="D334" s="224"/>
      <c r="E334" s="95"/>
      <c r="F334" s="95"/>
      <c r="G334" s="95"/>
      <c r="H334" s="95"/>
      <c r="I334" s="95"/>
    </row>
    <row r="335" spans="3:9">
      <c r="C335" s="95"/>
      <c r="D335" s="224"/>
      <c r="E335" s="95"/>
      <c r="F335" s="95"/>
      <c r="G335" s="95"/>
      <c r="H335" s="95"/>
      <c r="I335" s="95"/>
    </row>
    <row r="336" spans="3:9">
      <c r="C336" s="95"/>
      <c r="D336" s="224"/>
      <c r="E336" s="95"/>
      <c r="F336" s="95"/>
      <c r="G336" s="95"/>
      <c r="H336" s="95"/>
      <c r="I336" s="95"/>
    </row>
    <row r="337" spans="3:9">
      <c r="C337" s="95"/>
      <c r="D337" s="224"/>
      <c r="E337" s="95"/>
      <c r="F337" s="95"/>
      <c r="G337" s="95"/>
      <c r="H337" s="95"/>
      <c r="I337" s="95"/>
    </row>
    <row r="338" spans="3:9">
      <c r="C338" s="95"/>
      <c r="D338" s="224"/>
      <c r="E338" s="95"/>
      <c r="F338" s="95"/>
      <c r="G338" s="95"/>
      <c r="H338" s="95"/>
      <c r="I338" s="95"/>
    </row>
    <row r="339" spans="3:9">
      <c r="C339" s="95"/>
      <c r="D339" s="224"/>
      <c r="E339" s="95"/>
      <c r="F339" s="95"/>
      <c r="G339" s="95"/>
      <c r="H339" s="95"/>
      <c r="I339" s="95"/>
    </row>
    <row r="340" spans="3:9">
      <c r="C340" s="95"/>
      <c r="D340" s="224"/>
      <c r="E340" s="95"/>
      <c r="F340" s="95"/>
      <c r="G340" s="95"/>
      <c r="H340" s="95"/>
      <c r="I340" s="95"/>
    </row>
    <row r="341" spans="3:9">
      <c r="C341" s="95"/>
      <c r="D341" s="224"/>
      <c r="E341" s="95"/>
      <c r="F341" s="95"/>
      <c r="G341" s="95"/>
      <c r="H341" s="95"/>
      <c r="I341" s="95"/>
    </row>
    <row r="342" spans="3:9">
      <c r="C342" s="95"/>
      <c r="D342" s="224"/>
      <c r="E342" s="95"/>
      <c r="F342" s="95"/>
      <c r="G342" s="95"/>
      <c r="H342" s="95"/>
      <c r="I342" s="95"/>
    </row>
    <row r="343" spans="3:9">
      <c r="C343" s="95"/>
      <c r="D343" s="224"/>
      <c r="E343" s="95"/>
      <c r="F343" s="95"/>
      <c r="G343" s="95"/>
      <c r="H343" s="95"/>
      <c r="I343" s="95"/>
    </row>
    <row r="344" spans="3:9">
      <c r="C344" s="95"/>
      <c r="D344" s="224"/>
      <c r="E344" s="95"/>
      <c r="F344" s="95"/>
      <c r="G344" s="95"/>
      <c r="H344" s="95"/>
      <c r="I344" s="95"/>
    </row>
    <row r="345" spans="3:9">
      <c r="C345" s="95"/>
      <c r="D345" s="224"/>
      <c r="E345" s="95"/>
      <c r="F345" s="95"/>
      <c r="G345" s="95"/>
      <c r="H345" s="95"/>
      <c r="I345" s="95"/>
    </row>
    <row r="346" spans="3:9">
      <c r="C346" s="95"/>
      <c r="D346" s="224"/>
      <c r="E346" s="95"/>
      <c r="F346" s="95"/>
      <c r="G346" s="95"/>
      <c r="H346" s="95"/>
      <c r="I346" s="95"/>
    </row>
    <row r="347" spans="3:9">
      <c r="C347" s="95"/>
      <c r="D347" s="224"/>
      <c r="E347" s="95"/>
      <c r="F347" s="95"/>
      <c r="G347" s="95"/>
      <c r="H347" s="95"/>
      <c r="I347" s="95"/>
    </row>
    <row r="348" spans="3:9">
      <c r="C348" s="95"/>
      <c r="D348" s="224"/>
      <c r="E348" s="95"/>
      <c r="F348" s="95"/>
      <c r="G348" s="95"/>
      <c r="H348" s="95"/>
      <c r="I348" s="95"/>
    </row>
    <row r="349" spans="3:9">
      <c r="C349" s="95"/>
      <c r="D349" s="224"/>
      <c r="E349" s="95"/>
      <c r="F349" s="95"/>
      <c r="G349" s="95"/>
      <c r="H349" s="95"/>
      <c r="I349" s="95"/>
    </row>
    <row r="350" spans="3:9">
      <c r="C350" s="95"/>
      <c r="D350" s="224"/>
      <c r="E350" s="95"/>
      <c r="F350" s="95"/>
      <c r="G350" s="95"/>
      <c r="H350" s="95"/>
      <c r="I350" s="95"/>
    </row>
    <row r="351" spans="3:9">
      <c r="C351" s="95"/>
      <c r="D351" s="224"/>
      <c r="E351" s="95"/>
      <c r="F351" s="95"/>
      <c r="G351" s="95"/>
      <c r="H351" s="95"/>
      <c r="I351" s="95"/>
    </row>
    <row r="352" spans="3:9">
      <c r="C352" s="95"/>
      <c r="D352" s="224"/>
      <c r="E352" s="95"/>
      <c r="F352" s="95"/>
      <c r="G352" s="95"/>
      <c r="H352" s="95"/>
      <c r="I352" s="95"/>
    </row>
    <row r="353" spans="3:9">
      <c r="C353" s="95"/>
      <c r="D353" s="224"/>
      <c r="E353" s="95"/>
      <c r="F353" s="95"/>
      <c r="G353" s="95"/>
      <c r="H353" s="95"/>
      <c r="I353" s="95"/>
    </row>
    <row r="354" spans="3:9">
      <c r="C354" s="95"/>
      <c r="D354" s="224"/>
      <c r="E354" s="95"/>
      <c r="F354" s="95"/>
      <c r="G354" s="95"/>
      <c r="H354" s="95"/>
      <c r="I354" s="95"/>
    </row>
    <row r="355" spans="3:9">
      <c r="C355" s="95"/>
      <c r="D355" s="224"/>
      <c r="E355" s="95"/>
      <c r="F355" s="95"/>
      <c r="G355" s="95"/>
      <c r="H355" s="95"/>
      <c r="I355" s="95"/>
    </row>
    <row r="356" spans="3:9">
      <c r="C356" s="95"/>
      <c r="D356" s="224"/>
      <c r="E356" s="95"/>
      <c r="F356" s="95"/>
      <c r="G356" s="95"/>
      <c r="H356" s="95"/>
      <c r="I356" s="95"/>
    </row>
    <row r="357" spans="3:9">
      <c r="C357" s="95"/>
      <c r="D357" s="224"/>
      <c r="E357" s="95"/>
      <c r="F357" s="95"/>
      <c r="G357" s="95"/>
      <c r="H357" s="95"/>
      <c r="I357" s="95"/>
    </row>
    <row r="358" spans="3:9">
      <c r="C358" s="95"/>
      <c r="D358" s="224"/>
      <c r="E358" s="95"/>
      <c r="F358" s="95"/>
      <c r="G358" s="95"/>
      <c r="H358" s="95"/>
      <c r="I358" s="95"/>
    </row>
    <row r="359" spans="3:9">
      <c r="C359" s="95"/>
      <c r="D359" s="224"/>
      <c r="E359" s="95"/>
      <c r="F359" s="95"/>
      <c r="G359" s="95"/>
      <c r="H359" s="95"/>
      <c r="I359" s="95"/>
    </row>
    <row r="360" spans="3:9">
      <c r="C360" s="95"/>
      <c r="D360" s="224"/>
      <c r="E360" s="95"/>
      <c r="F360" s="95"/>
      <c r="G360" s="95"/>
      <c r="H360" s="95"/>
      <c r="I360" s="95"/>
    </row>
    <row r="361" spans="3:9">
      <c r="C361" s="95"/>
      <c r="D361" s="224"/>
      <c r="E361" s="95"/>
      <c r="F361" s="95"/>
      <c r="G361" s="95"/>
      <c r="H361" s="95"/>
      <c r="I361" s="95"/>
    </row>
    <row r="362" spans="3:9">
      <c r="C362" s="95"/>
      <c r="D362" s="224"/>
      <c r="E362" s="95"/>
      <c r="F362" s="95"/>
      <c r="G362" s="95"/>
      <c r="H362" s="95"/>
      <c r="I362" s="95"/>
    </row>
    <row r="363" spans="3:9">
      <c r="C363" s="95"/>
      <c r="D363" s="224"/>
      <c r="E363" s="95"/>
      <c r="F363" s="95"/>
      <c r="G363" s="95"/>
      <c r="H363" s="95"/>
      <c r="I363" s="95"/>
    </row>
    <row r="364" spans="3:9">
      <c r="C364" s="95"/>
      <c r="D364" s="224"/>
      <c r="E364" s="95"/>
      <c r="F364" s="95"/>
      <c r="G364" s="95"/>
      <c r="H364" s="95"/>
      <c r="I364" s="95"/>
    </row>
    <row r="365" spans="3:9">
      <c r="C365" s="95"/>
      <c r="D365" s="224"/>
      <c r="E365" s="95"/>
      <c r="F365" s="95"/>
      <c r="G365" s="95"/>
      <c r="H365" s="95"/>
      <c r="I365" s="95"/>
    </row>
    <row r="366" spans="3:9">
      <c r="C366" s="95"/>
      <c r="D366" s="224"/>
      <c r="E366" s="95"/>
      <c r="F366" s="95"/>
      <c r="G366" s="95"/>
      <c r="H366" s="95"/>
      <c r="I366" s="95"/>
    </row>
    <row r="367" spans="3:9">
      <c r="C367" s="95"/>
      <c r="D367" s="224"/>
      <c r="E367" s="95"/>
      <c r="F367" s="95"/>
      <c r="G367" s="95"/>
      <c r="H367" s="95"/>
      <c r="I367" s="95"/>
    </row>
    <row r="368" spans="3:9">
      <c r="C368" s="95"/>
      <c r="D368" s="224"/>
      <c r="E368" s="95"/>
      <c r="F368" s="95"/>
      <c r="G368" s="95"/>
      <c r="H368" s="95"/>
      <c r="I368" s="95"/>
    </row>
    <row r="369" spans="3:9">
      <c r="C369" s="95"/>
      <c r="D369" s="224"/>
      <c r="E369" s="95"/>
      <c r="F369" s="95"/>
      <c r="G369" s="95"/>
      <c r="H369" s="95"/>
      <c r="I369" s="95"/>
    </row>
    <row r="370" spans="3:9">
      <c r="C370" s="95"/>
      <c r="D370" s="224"/>
      <c r="E370" s="95"/>
      <c r="F370" s="95"/>
      <c r="G370" s="95"/>
      <c r="H370" s="95"/>
      <c r="I370" s="95"/>
    </row>
    <row r="371" spans="3:9">
      <c r="C371" s="95"/>
      <c r="D371" s="224"/>
      <c r="E371" s="95"/>
      <c r="F371" s="95"/>
      <c r="G371" s="95"/>
      <c r="H371" s="95"/>
      <c r="I371" s="95"/>
    </row>
    <row r="372" spans="3:9">
      <c r="C372" s="95"/>
      <c r="D372" s="224"/>
      <c r="E372" s="95"/>
      <c r="F372" s="95"/>
      <c r="G372" s="95"/>
      <c r="H372" s="95"/>
      <c r="I372" s="95"/>
    </row>
    <row r="373" spans="3:9">
      <c r="C373" s="95"/>
      <c r="D373" s="224"/>
      <c r="E373" s="95"/>
      <c r="F373" s="95"/>
      <c r="G373" s="95"/>
      <c r="H373" s="95"/>
      <c r="I373" s="95"/>
    </row>
    <row r="374" spans="3:9">
      <c r="C374" s="95"/>
      <c r="D374" s="224"/>
      <c r="E374" s="95"/>
      <c r="F374" s="95"/>
      <c r="G374" s="95"/>
      <c r="H374" s="95"/>
      <c r="I374" s="95"/>
    </row>
    <row r="375" spans="3:9">
      <c r="C375" s="95"/>
      <c r="D375" s="224"/>
      <c r="E375" s="95"/>
      <c r="F375" s="95"/>
      <c r="G375" s="95"/>
      <c r="H375" s="95"/>
      <c r="I375" s="95"/>
    </row>
    <row r="376" spans="3:9">
      <c r="C376" s="95"/>
      <c r="D376" s="224"/>
      <c r="E376" s="95"/>
      <c r="F376" s="95"/>
      <c r="G376" s="95"/>
      <c r="H376" s="95"/>
      <c r="I376" s="95"/>
    </row>
    <row r="377" spans="3:9">
      <c r="C377" s="95"/>
      <c r="D377" s="224"/>
      <c r="E377" s="95"/>
      <c r="F377" s="95"/>
      <c r="G377" s="95"/>
      <c r="H377" s="95"/>
      <c r="I377" s="95"/>
    </row>
    <row r="378" spans="3:9">
      <c r="C378" s="95"/>
      <c r="D378" s="224"/>
      <c r="E378" s="95"/>
      <c r="F378" s="95"/>
      <c r="G378" s="95"/>
      <c r="H378" s="95"/>
      <c r="I378" s="95"/>
    </row>
    <row r="379" spans="3:9">
      <c r="C379" s="95"/>
      <c r="D379" s="224"/>
      <c r="E379" s="95"/>
      <c r="F379" s="95"/>
      <c r="G379" s="95"/>
      <c r="H379" s="95"/>
      <c r="I379" s="95"/>
    </row>
    <row r="380" spans="3:9">
      <c r="C380" s="95"/>
      <c r="D380" s="224"/>
      <c r="E380" s="95"/>
      <c r="F380" s="95"/>
      <c r="G380" s="95"/>
      <c r="H380" s="95"/>
      <c r="I380" s="95"/>
    </row>
    <row r="381" spans="3:9">
      <c r="C381" s="95"/>
      <c r="D381" s="224"/>
      <c r="E381" s="95"/>
      <c r="F381" s="95"/>
      <c r="G381" s="95"/>
      <c r="H381" s="95"/>
      <c r="I381" s="95"/>
    </row>
    <row r="382" spans="3:9">
      <c r="C382" s="95"/>
      <c r="D382" s="224"/>
      <c r="E382" s="95"/>
      <c r="F382" s="95"/>
      <c r="G382" s="95"/>
      <c r="H382" s="95"/>
      <c r="I382" s="95"/>
    </row>
    <row r="383" spans="3:9">
      <c r="C383" s="95"/>
      <c r="D383" s="224"/>
      <c r="E383" s="95"/>
      <c r="F383" s="95"/>
      <c r="G383" s="95"/>
      <c r="H383" s="95"/>
      <c r="I383" s="95"/>
    </row>
    <row r="384" spans="3:9">
      <c r="C384" s="95"/>
      <c r="D384" s="224"/>
      <c r="E384" s="95"/>
      <c r="F384" s="95"/>
      <c r="G384" s="95"/>
      <c r="H384" s="95"/>
      <c r="I384" s="95"/>
    </row>
    <row r="385" spans="3:9">
      <c r="C385" s="95"/>
      <c r="D385" s="224"/>
      <c r="E385" s="95"/>
      <c r="F385" s="95"/>
      <c r="G385" s="95"/>
      <c r="H385" s="95"/>
      <c r="I385" s="95"/>
    </row>
    <row r="386" spans="3:9">
      <c r="C386" s="95"/>
      <c r="D386" s="224"/>
      <c r="E386" s="95"/>
      <c r="F386" s="95"/>
      <c r="G386" s="95"/>
      <c r="H386" s="95"/>
      <c r="I386" s="95"/>
    </row>
    <row r="387" spans="3:9">
      <c r="C387" s="95"/>
      <c r="D387" s="224"/>
      <c r="E387" s="95"/>
      <c r="F387" s="95"/>
      <c r="G387" s="95"/>
      <c r="H387" s="95"/>
      <c r="I387" s="95"/>
    </row>
    <row r="388" spans="3:9">
      <c r="C388" s="95"/>
      <c r="D388" s="224"/>
      <c r="E388" s="95"/>
      <c r="F388" s="95"/>
      <c r="G388" s="95"/>
      <c r="H388" s="95"/>
      <c r="I388" s="95"/>
    </row>
    <row r="389" spans="3:9">
      <c r="C389" s="95"/>
      <c r="D389" s="224"/>
      <c r="E389" s="95"/>
      <c r="F389" s="95"/>
      <c r="G389" s="95"/>
      <c r="H389" s="95"/>
      <c r="I389" s="95"/>
    </row>
    <row r="390" spans="3:9">
      <c r="C390" s="95"/>
      <c r="D390" s="224"/>
      <c r="E390" s="95"/>
      <c r="F390" s="95"/>
      <c r="G390" s="95"/>
      <c r="H390" s="95"/>
      <c r="I390" s="95"/>
    </row>
    <row r="391" spans="3:9">
      <c r="C391" s="95"/>
      <c r="D391" s="224"/>
      <c r="E391" s="95"/>
      <c r="F391" s="95"/>
      <c r="G391" s="95"/>
      <c r="H391" s="95"/>
      <c r="I391" s="95"/>
    </row>
    <row r="392" spans="3:9">
      <c r="C392" s="95"/>
      <c r="D392" s="224"/>
      <c r="E392" s="95"/>
      <c r="F392" s="95"/>
      <c r="G392" s="95"/>
      <c r="H392" s="95"/>
      <c r="I392" s="95"/>
    </row>
    <row r="393" spans="3:9">
      <c r="C393" s="95"/>
      <c r="D393" s="224"/>
      <c r="E393" s="95"/>
      <c r="F393" s="95"/>
      <c r="G393" s="95"/>
      <c r="H393" s="95"/>
      <c r="I393" s="95"/>
    </row>
    <row r="394" spans="3:9">
      <c r="C394" s="95"/>
      <c r="D394" s="224"/>
      <c r="E394" s="95"/>
      <c r="F394" s="95"/>
      <c r="G394" s="95"/>
      <c r="H394" s="95"/>
      <c r="I394" s="95"/>
    </row>
    <row r="395" spans="3:9">
      <c r="C395" s="95"/>
      <c r="D395" s="224"/>
      <c r="E395" s="95"/>
      <c r="F395" s="95"/>
      <c r="G395" s="95"/>
      <c r="H395" s="95"/>
      <c r="I395" s="95"/>
    </row>
    <row r="396" spans="3:9">
      <c r="C396" s="95"/>
      <c r="D396" s="224"/>
      <c r="E396" s="95"/>
      <c r="F396" s="95"/>
      <c r="G396" s="95"/>
      <c r="H396" s="95"/>
      <c r="I396" s="95"/>
    </row>
    <row r="397" spans="3:9">
      <c r="C397" s="95"/>
      <c r="D397" s="224"/>
      <c r="E397" s="95"/>
      <c r="F397" s="95"/>
      <c r="G397" s="95"/>
      <c r="H397" s="95"/>
      <c r="I397" s="95"/>
    </row>
    <row r="398" spans="3:9">
      <c r="C398" s="95"/>
      <c r="D398" s="224"/>
      <c r="E398" s="95"/>
      <c r="F398" s="95"/>
      <c r="G398" s="95"/>
      <c r="H398" s="95"/>
      <c r="I398" s="95"/>
    </row>
    <row r="399" spans="3:9">
      <c r="C399" s="95"/>
      <c r="D399" s="224"/>
      <c r="E399" s="95"/>
      <c r="F399" s="95"/>
      <c r="G399" s="95"/>
      <c r="H399" s="95"/>
      <c r="I399" s="95"/>
    </row>
    <row r="400" spans="3:9">
      <c r="C400" s="95"/>
      <c r="D400" s="224"/>
      <c r="E400" s="95"/>
      <c r="F400" s="95"/>
      <c r="G400" s="95"/>
      <c r="H400" s="95"/>
      <c r="I400" s="95"/>
    </row>
    <row r="401" spans="3:9">
      <c r="C401" s="95"/>
      <c r="D401" s="224"/>
      <c r="E401" s="95"/>
      <c r="F401" s="95"/>
      <c r="G401" s="95"/>
      <c r="H401" s="95"/>
      <c r="I401" s="95"/>
    </row>
    <row r="402" spans="3:9">
      <c r="C402" s="95"/>
      <c r="D402" s="224"/>
      <c r="E402" s="95"/>
      <c r="F402" s="95"/>
      <c r="G402" s="95"/>
      <c r="H402" s="95"/>
      <c r="I402" s="95"/>
    </row>
    <row r="403" spans="3:9">
      <c r="C403" s="95"/>
      <c r="D403" s="224"/>
      <c r="E403" s="95"/>
      <c r="F403" s="95"/>
      <c r="G403" s="95"/>
      <c r="H403" s="95"/>
      <c r="I403" s="95"/>
    </row>
    <row r="404" spans="3:9">
      <c r="C404" s="95"/>
      <c r="D404" s="224"/>
      <c r="E404" s="95"/>
      <c r="F404" s="95"/>
      <c r="G404" s="95"/>
      <c r="H404" s="95"/>
      <c r="I404" s="95"/>
    </row>
    <row r="405" spans="3:9">
      <c r="C405" s="95"/>
      <c r="D405" s="224"/>
      <c r="E405" s="95"/>
      <c r="F405" s="95"/>
      <c r="G405" s="95"/>
      <c r="H405" s="95"/>
      <c r="I405" s="95"/>
    </row>
    <row r="406" spans="3:9">
      <c r="C406" s="95"/>
      <c r="D406" s="224"/>
      <c r="E406" s="95"/>
      <c r="F406" s="95"/>
      <c r="G406" s="95"/>
      <c r="H406" s="95"/>
      <c r="I406" s="95"/>
    </row>
    <row r="407" spans="3:9">
      <c r="C407" s="95"/>
      <c r="D407" s="224"/>
      <c r="E407" s="95"/>
      <c r="F407" s="95"/>
      <c r="G407" s="95"/>
      <c r="H407" s="95"/>
      <c r="I407" s="95"/>
    </row>
    <row r="408" spans="3:9">
      <c r="C408" s="95"/>
      <c r="D408" s="224"/>
      <c r="E408" s="95"/>
      <c r="F408" s="95"/>
      <c r="G408" s="95"/>
      <c r="H408" s="95"/>
      <c r="I408" s="95"/>
    </row>
    <row r="409" spans="3:9">
      <c r="C409" s="95"/>
      <c r="D409" s="224"/>
      <c r="E409" s="95"/>
      <c r="F409" s="95"/>
      <c r="G409" s="95"/>
      <c r="H409" s="95"/>
      <c r="I409" s="95"/>
    </row>
    <row r="410" spans="3:9">
      <c r="C410" s="95"/>
      <c r="D410" s="224"/>
      <c r="E410" s="95"/>
      <c r="F410" s="95"/>
      <c r="G410" s="95"/>
      <c r="H410" s="95"/>
      <c r="I410" s="95"/>
    </row>
    <row r="411" spans="3:9">
      <c r="C411" s="95"/>
      <c r="D411" s="224"/>
      <c r="E411" s="95"/>
      <c r="F411" s="95"/>
      <c r="G411" s="95"/>
      <c r="H411" s="95"/>
      <c r="I411" s="95"/>
    </row>
    <row r="412" spans="3:9">
      <c r="C412" s="95"/>
      <c r="D412" s="224"/>
      <c r="E412" s="95"/>
      <c r="F412" s="95"/>
      <c r="G412" s="95"/>
      <c r="H412" s="95"/>
      <c r="I412" s="95"/>
    </row>
    <row r="413" spans="3:9">
      <c r="C413" s="95"/>
      <c r="D413" s="224"/>
      <c r="E413" s="95"/>
      <c r="F413" s="95"/>
      <c r="G413" s="95"/>
      <c r="H413" s="95"/>
      <c r="I413" s="95"/>
    </row>
    <row r="414" spans="3:9">
      <c r="C414" s="95"/>
      <c r="D414" s="224"/>
      <c r="E414" s="95"/>
      <c r="F414" s="95"/>
      <c r="G414" s="95"/>
      <c r="H414" s="95"/>
      <c r="I414" s="95"/>
    </row>
    <row r="415" spans="3:9">
      <c r="C415" s="95"/>
      <c r="D415" s="224"/>
      <c r="E415" s="95"/>
      <c r="F415" s="95"/>
      <c r="G415" s="95"/>
      <c r="H415" s="95"/>
      <c r="I415" s="95"/>
    </row>
    <row r="416" spans="3:9">
      <c r="C416" s="95"/>
      <c r="D416" s="224"/>
      <c r="E416" s="95"/>
      <c r="F416" s="95"/>
      <c r="G416" s="95"/>
      <c r="H416" s="95"/>
      <c r="I416" s="95"/>
    </row>
    <row r="417" spans="3:9">
      <c r="C417" s="95"/>
      <c r="D417" s="224"/>
      <c r="E417" s="95"/>
      <c r="F417" s="95"/>
      <c r="G417" s="95"/>
      <c r="H417" s="95"/>
      <c r="I417" s="95"/>
    </row>
    <row r="418" spans="3:9">
      <c r="C418" s="95"/>
      <c r="D418" s="224"/>
      <c r="E418" s="95"/>
      <c r="F418" s="95"/>
      <c r="G418" s="95"/>
      <c r="H418" s="95"/>
      <c r="I418" s="95"/>
    </row>
    <row r="419" spans="3:9">
      <c r="C419" s="95"/>
      <c r="D419" s="224"/>
      <c r="E419" s="95"/>
      <c r="F419" s="95"/>
      <c r="G419" s="95"/>
      <c r="H419" s="95"/>
      <c r="I419" s="95"/>
    </row>
    <row r="420" spans="3:9">
      <c r="C420" s="95"/>
      <c r="D420" s="224"/>
      <c r="E420" s="95"/>
      <c r="F420" s="95"/>
      <c r="G420" s="95"/>
      <c r="H420" s="95"/>
      <c r="I420" s="95"/>
    </row>
    <row r="421" spans="3:9">
      <c r="C421" s="95"/>
      <c r="D421" s="224"/>
      <c r="E421" s="95"/>
      <c r="F421" s="95"/>
      <c r="G421" s="95"/>
      <c r="H421" s="95"/>
      <c r="I421" s="95"/>
    </row>
    <row r="422" spans="3:9">
      <c r="C422" s="95"/>
      <c r="D422" s="224"/>
      <c r="E422" s="95"/>
      <c r="F422" s="95"/>
      <c r="G422" s="95"/>
      <c r="H422" s="95"/>
      <c r="I422" s="95"/>
    </row>
    <row r="423" spans="3:9">
      <c r="C423" s="95"/>
      <c r="D423" s="224"/>
      <c r="E423" s="95"/>
      <c r="F423" s="95"/>
      <c r="G423" s="95"/>
      <c r="H423" s="95"/>
      <c r="I423" s="95"/>
    </row>
    <row r="424" spans="3:9">
      <c r="C424" s="95"/>
      <c r="D424" s="224"/>
      <c r="E424" s="95"/>
      <c r="F424" s="95"/>
      <c r="G424" s="95"/>
      <c r="H424" s="95"/>
      <c r="I424" s="95"/>
    </row>
    <row r="425" spans="3:9">
      <c r="C425" s="95"/>
      <c r="D425" s="224"/>
      <c r="E425" s="95"/>
      <c r="F425" s="95"/>
      <c r="G425" s="95"/>
      <c r="H425" s="95"/>
      <c r="I425" s="95"/>
    </row>
    <row r="426" spans="3:9">
      <c r="C426" s="95"/>
      <c r="D426" s="224"/>
      <c r="E426" s="95"/>
      <c r="F426" s="95"/>
      <c r="G426" s="95"/>
      <c r="H426" s="95"/>
      <c r="I426" s="95"/>
    </row>
    <row r="427" spans="3:9">
      <c r="C427" s="95"/>
      <c r="D427" s="224"/>
      <c r="E427" s="95"/>
      <c r="F427" s="95"/>
      <c r="G427" s="95"/>
      <c r="H427" s="95"/>
      <c r="I427" s="95"/>
    </row>
    <row r="428" spans="3:9">
      <c r="C428" s="95"/>
      <c r="D428" s="224"/>
      <c r="E428" s="95"/>
      <c r="F428" s="95"/>
      <c r="G428" s="95"/>
      <c r="H428" s="95"/>
      <c r="I428" s="95"/>
    </row>
    <row r="429" spans="3:9">
      <c r="C429" s="95"/>
      <c r="D429" s="224"/>
      <c r="E429" s="95"/>
      <c r="F429" s="95"/>
      <c r="G429" s="95"/>
      <c r="H429" s="95"/>
      <c r="I429" s="95"/>
    </row>
    <row r="430" spans="3:9">
      <c r="C430" s="95"/>
      <c r="D430" s="224"/>
      <c r="E430" s="95"/>
      <c r="F430" s="95"/>
      <c r="G430" s="95"/>
      <c r="H430" s="95"/>
      <c r="I430" s="95"/>
    </row>
    <row r="431" spans="3:9">
      <c r="C431" s="95"/>
      <c r="D431" s="224"/>
      <c r="E431" s="95"/>
      <c r="F431" s="95"/>
      <c r="G431" s="95"/>
      <c r="H431" s="95"/>
      <c r="I431" s="95"/>
    </row>
    <row r="432" spans="3:9">
      <c r="C432" s="95"/>
      <c r="D432" s="224"/>
      <c r="E432" s="95"/>
      <c r="F432" s="95"/>
      <c r="G432" s="95"/>
      <c r="H432" s="95"/>
      <c r="I432" s="95"/>
    </row>
    <row r="433" spans="3:9">
      <c r="C433" s="95"/>
      <c r="D433" s="224"/>
      <c r="E433" s="95"/>
      <c r="F433" s="95"/>
      <c r="G433" s="95"/>
      <c r="H433" s="95"/>
      <c r="I433" s="95"/>
    </row>
    <row r="434" spans="3:9">
      <c r="C434" s="95"/>
      <c r="D434" s="224"/>
      <c r="E434" s="95"/>
      <c r="F434" s="95"/>
      <c r="G434" s="95"/>
      <c r="H434" s="95"/>
      <c r="I434" s="95"/>
    </row>
    <row r="435" spans="3:9">
      <c r="C435" s="95"/>
      <c r="D435" s="224"/>
      <c r="E435" s="95"/>
      <c r="F435" s="95"/>
      <c r="G435" s="95"/>
      <c r="H435" s="95"/>
      <c r="I435" s="95"/>
    </row>
    <row r="436" spans="3:9">
      <c r="C436" s="95"/>
      <c r="D436" s="224"/>
      <c r="E436" s="95"/>
      <c r="F436" s="95"/>
      <c r="G436" s="95"/>
      <c r="H436" s="95"/>
      <c r="I436" s="95"/>
    </row>
    <row r="437" spans="3:9">
      <c r="C437" s="95"/>
      <c r="D437" s="224"/>
      <c r="E437" s="95"/>
      <c r="F437" s="95"/>
      <c r="G437" s="95"/>
      <c r="H437" s="95"/>
      <c r="I437" s="95"/>
    </row>
    <row r="438" spans="3:9">
      <c r="C438" s="95"/>
      <c r="D438" s="224"/>
      <c r="E438" s="95"/>
      <c r="F438" s="95"/>
      <c r="G438" s="95"/>
      <c r="H438" s="95"/>
      <c r="I438" s="95"/>
    </row>
    <row r="439" spans="3:9">
      <c r="C439" s="95"/>
      <c r="D439" s="224"/>
      <c r="E439" s="95"/>
      <c r="F439" s="95"/>
      <c r="G439" s="95"/>
      <c r="H439" s="95"/>
      <c r="I439" s="95"/>
    </row>
    <row r="440" spans="3:9">
      <c r="C440" s="95"/>
      <c r="D440" s="224"/>
      <c r="E440" s="95"/>
      <c r="F440" s="95"/>
      <c r="G440" s="95"/>
      <c r="H440" s="95"/>
      <c r="I440" s="95"/>
    </row>
    <row r="441" spans="3:9">
      <c r="C441" s="95"/>
      <c r="D441" s="224"/>
      <c r="E441" s="95"/>
      <c r="F441" s="95"/>
      <c r="G441" s="95"/>
      <c r="H441" s="95"/>
      <c r="I441" s="95"/>
    </row>
    <row r="442" spans="3:9">
      <c r="C442" s="95"/>
      <c r="D442" s="224"/>
      <c r="E442" s="95"/>
      <c r="F442" s="95"/>
      <c r="G442" s="95"/>
      <c r="H442" s="95"/>
      <c r="I442" s="95"/>
    </row>
    <row r="443" spans="3:9">
      <c r="C443" s="95"/>
      <c r="D443" s="224"/>
      <c r="E443" s="95"/>
      <c r="F443" s="95"/>
      <c r="G443" s="95"/>
      <c r="H443" s="95"/>
      <c r="I443" s="95"/>
    </row>
    <row r="444" spans="3:9">
      <c r="C444" s="95"/>
      <c r="D444" s="224"/>
      <c r="E444" s="95"/>
      <c r="F444" s="95"/>
      <c r="G444" s="95"/>
      <c r="H444" s="95"/>
      <c r="I444" s="95"/>
    </row>
    <row r="445" spans="3:9">
      <c r="C445" s="95"/>
      <c r="D445" s="224"/>
      <c r="E445" s="95"/>
      <c r="F445" s="95"/>
      <c r="G445" s="95"/>
      <c r="H445" s="95"/>
      <c r="I445" s="95"/>
    </row>
    <row r="446" spans="3:9">
      <c r="C446" s="95"/>
      <c r="D446" s="224"/>
      <c r="E446" s="95"/>
      <c r="F446" s="95"/>
      <c r="G446" s="95"/>
      <c r="H446" s="95"/>
      <c r="I446" s="95"/>
    </row>
    <row r="447" spans="3:9">
      <c r="C447" s="95"/>
      <c r="D447" s="224"/>
      <c r="E447" s="95"/>
      <c r="F447" s="95"/>
      <c r="G447" s="95"/>
      <c r="H447" s="95"/>
      <c r="I447" s="95"/>
    </row>
    <row r="448" spans="3:9">
      <c r="C448" s="95"/>
      <c r="D448" s="224"/>
      <c r="E448" s="95"/>
      <c r="F448" s="95"/>
      <c r="G448" s="95"/>
      <c r="H448" s="95"/>
      <c r="I448" s="95"/>
    </row>
    <row r="449" spans="3:9">
      <c r="C449" s="95"/>
      <c r="D449" s="224"/>
      <c r="E449" s="95"/>
      <c r="F449" s="95"/>
      <c r="G449" s="95"/>
      <c r="H449" s="95"/>
      <c r="I449" s="95"/>
    </row>
    <row r="450" spans="3:9">
      <c r="C450" s="95"/>
      <c r="D450" s="224"/>
      <c r="E450" s="95"/>
      <c r="F450" s="95"/>
      <c r="G450" s="95"/>
      <c r="H450" s="95"/>
      <c r="I450" s="95"/>
    </row>
    <row r="451" spans="3:9">
      <c r="C451" s="95"/>
      <c r="D451" s="224"/>
      <c r="E451" s="95"/>
      <c r="F451" s="95"/>
      <c r="G451" s="95"/>
      <c r="H451" s="95"/>
      <c r="I451" s="95"/>
    </row>
    <row r="452" spans="3:9">
      <c r="C452" s="95"/>
      <c r="D452" s="224"/>
      <c r="E452" s="95"/>
      <c r="F452" s="95"/>
      <c r="G452" s="95"/>
      <c r="H452" s="95"/>
      <c r="I452" s="95"/>
    </row>
    <row r="453" spans="3:9">
      <c r="C453" s="95"/>
      <c r="D453" s="224"/>
      <c r="E453" s="95"/>
      <c r="F453" s="95"/>
      <c r="G453" s="95"/>
      <c r="H453" s="95"/>
      <c r="I453" s="95"/>
    </row>
    <row r="454" spans="3:9">
      <c r="C454" s="95"/>
      <c r="D454" s="224"/>
      <c r="E454" s="95"/>
      <c r="F454" s="95"/>
      <c r="G454" s="95"/>
      <c r="H454" s="95"/>
      <c r="I454" s="95"/>
    </row>
    <row r="455" spans="3:9">
      <c r="C455" s="95"/>
      <c r="D455" s="224"/>
      <c r="E455" s="95"/>
      <c r="F455" s="95"/>
      <c r="G455" s="95"/>
      <c r="H455" s="95"/>
      <c r="I455" s="95"/>
    </row>
    <row r="456" spans="3:9">
      <c r="C456" s="95"/>
      <c r="D456" s="224"/>
      <c r="E456" s="95"/>
      <c r="F456" s="95"/>
      <c r="G456" s="95"/>
      <c r="H456" s="95"/>
      <c r="I456" s="95"/>
    </row>
    <row r="457" spans="3:9">
      <c r="C457" s="95"/>
      <c r="D457" s="224"/>
      <c r="E457" s="95"/>
      <c r="F457" s="95"/>
      <c r="G457" s="95"/>
      <c r="H457" s="95"/>
      <c r="I457" s="95"/>
    </row>
    <row r="458" spans="3:9">
      <c r="C458" s="95"/>
      <c r="D458" s="224"/>
      <c r="E458" s="95"/>
      <c r="F458" s="95"/>
      <c r="G458" s="95"/>
      <c r="H458" s="95"/>
      <c r="I458" s="95"/>
    </row>
    <row r="459" spans="3:9">
      <c r="C459" s="95"/>
      <c r="D459" s="224"/>
      <c r="E459" s="95"/>
      <c r="F459" s="95"/>
      <c r="G459" s="95"/>
      <c r="H459" s="95"/>
      <c r="I459" s="95"/>
    </row>
    <row r="460" spans="3:9">
      <c r="C460" s="95"/>
      <c r="D460" s="224"/>
      <c r="E460" s="95"/>
      <c r="F460" s="95"/>
      <c r="G460" s="95"/>
      <c r="H460" s="95"/>
      <c r="I460" s="95"/>
    </row>
    <row r="461" spans="3:9">
      <c r="C461" s="95"/>
      <c r="D461" s="224"/>
      <c r="E461" s="95"/>
      <c r="F461" s="95"/>
      <c r="G461" s="95"/>
      <c r="H461" s="95"/>
      <c r="I461" s="95"/>
    </row>
    <row r="462" spans="3:9">
      <c r="C462" s="95"/>
      <c r="D462" s="224"/>
      <c r="E462" s="95"/>
      <c r="F462" s="95"/>
      <c r="G462" s="95"/>
      <c r="H462" s="95"/>
      <c r="I462" s="95"/>
    </row>
    <row r="463" spans="3:9">
      <c r="C463" s="95"/>
      <c r="D463" s="224"/>
      <c r="E463" s="95"/>
      <c r="F463" s="95"/>
      <c r="G463" s="95"/>
      <c r="H463" s="95"/>
      <c r="I463" s="95"/>
    </row>
    <row r="464" spans="3:9">
      <c r="C464" s="95"/>
      <c r="D464" s="224"/>
      <c r="E464" s="95"/>
      <c r="F464" s="95"/>
      <c r="G464" s="95"/>
      <c r="H464" s="95"/>
      <c r="I464" s="95"/>
    </row>
    <row r="465" spans="3:9">
      <c r="C465" s="95"/>
      <c r="D465" s="224"/>
      <c r="E465" s="95"/>
      <c r="F465" s="95"/>
      <c r="G465" s="95"/>
      <c r="H465" s="95"/>
      <c r="I465" s="95"/>
    </row>
    <row r="466" spans="3:9">
      <c r="C466" s="95"/>
      <c r="D466" s="224"/>
      <c r="E466" s="95"/>
      <c r="F466" s="95"/>
      <c r="G466" s="95"/>
      <c r="H466" s="95"/>
      <c r="I466" s="95"/>
    </row>
    <row r="467" spans="3:9">
      <c r="C467" s="95"/>
      <c r="D467" s="224"/>
      <c r="E467" s="95"/>
      <c r="F467" s="95"/>
      <c r="G467" s="95"/>
      <c r="H467" s="95"/>
      <c r="I467" s="95"/>
    </row>
    <row r="468" spans="3:9">
      <c r="C468" s="95"/>
      <c r="D468" s="224"/>
      <c r="E468" s="95"/>
      <c r="F468" s="95"/>
      <c r="G468" s="95"/>
      <c r="H468" s="95"/>
      <c r="I468" s="95"/>
    </row>
    <row r="469" spans="3:9">
      <c r="C469" s="95"/>
      <c r="D469" s="224"/>
      <c r="E469" s="95"/>
      <c r="F469" s="95"/>
      <c r="G469" s="95"/>
      <c r="H469" s="95"/>
      <c r="I469" s="95"/>
    </row>
    <row r="470" spans="3:9">
      <c r="C470" s="95"/>
      <c r="D470" s="224"/>
      <c r="E470" s="95"/>
      <c r="F470" s="95"/>
      <c r="G470" s="95"/>
      <c r="H470" s="95"/>
      <c r="I470" s="95"/>
    </row>
    <row r="471" spans="3:9">
      <c r="C471" s="95"/>
      <c r="D471" s="224"/>
      <c r="E471" s="95"/>
      <c r="F471" s="95"/>
      <c r="G471" s="95"/>
      <c r="H471" s="95"/>
      <c r="I471" s="95"/>
    </row>
    <row r="472" spans="3:9">
      <c r="C472" s="95"/>
      <c r="D472" s="224"/>
      <c r="E472" s="95"/>
      <c r="F472" s="95"/>
      <c r="G472" s="95"/>
      <c r="H472" s="95"/>
      <c r="I472" s="95"/>
    </row>
    <row r="473" spans="3:9">
      <c r="C473" s="95"/>
      <c r="D473" s="224"/>
      <c r="E473" s="95"/>
      <c r="F473" s="95"/>
      <c r="G473" s="95"/>
      <c r="H473" s="95"/>
      <c r="I473" s="95"/>
    </row>
    <row r="474" spans="3:9">
      <c r="C474" s="95"/>
      <c r="D474" s="224"/>
      <c r="E474" s="95"/>
      <c r="F474" s="95"/>
      <c r="G474" s="95"/>
      <c r="H474" s="95"/>
      <c r="I474" s="95"/>
    </row>
    <row r="475" spans="3:9">
      <c r="C475" s="95"/>
      <c r="D475" s="224"/>
      <c r="E475" s="95"/>
      <c r="F475" s="95"/>
      <c r="G475" s="95"/>
      <c r="H475" s="95"/>
      <c r="I475" s="95"/>
    </row>
    <row r="476" spans="3:9">
      <c r="C476" s="95"/>
      <c r="D476" s="224"/>
      <c r="E476" s="95"/>
      <c r="F476" s="95"/>
      <c r="G476" s="95"/>
      <c r="H476" s="95"/>
      <c r="I476" s="95"/>
    </row>
    <row r="477" spans="3:9">
      <c r="C477" s="95"/>
      <c r="D477" s="224"/>
      <c r="E477" s="95"/>
      <c r="F477" s="95"/>
      <c r="G477" s="95"/>
      <c r="H477" s="95"/>
      <c r="I477" s="95"/>
    </row>
    <row r="478" spans="3:9">
      <c r="C478" s="95"/>
      <c r="D478" s="224"/>
      <c r="E478" s="95"/>
      <c r="F478" s="95"/>
      <c r="G478" s="95"/>
      <c r="H478" s="95"/>
      <c r="I478" s="95"/>
    </row>
    <row r="479" spans="3:9">
      <c r="C479" s="95"/>
      <c r="D479" s="224"/>
      <c r="E479" s="95"/>
      <c r="F479" s="95"/>
      <c r="G479" s="95"/>
      <c r="H479" s="95"/>
      <c r="I479" s="95"/>
    </row>
    <row r="480" spans="3:9">
      <c r="C480" s="95"/>
      <c r="D480" s="224"/>
      <c r="E480" s="95"/>
      <c r="F480" s="95"/>
      <c r="G480" s="95"/>
      <c r="H480" s="95"/>
      <c r="I480" s="95"/>
    </row>
    <row r="481" spans="3:9">
      <c r="C481" s="95"/>
      <c r="D481" s="224"/>
      <c r="E481" s="95"/>
      <c r="F481" s="95"/>
      <c r="G481" s="95"/>
      <c r="H481" s="95"/>
      <c r="I481" s="95"/>
    </row>
    <row r="482" spans="3:9">
      <c r="C482" s="95"/>
      <c r="D482" s="224"/>
      <c r="E482" s="95"/>
      <c r="F482" s="95"/>
      <c r="G482" s="95"/>
      <c r="H482" s="95"/>
      <c r="I482" s="95"/>
    </row>
    <row r="483" spans="3:9">
      <c r="C483" s="95"/>
      <c r="D483" s="224"/>
      <c r="E483" s="95"/>
      <c r="F483" s="95"/>
      <c r="G483" s="95"/>
      <c r="H483" s="95"/>
      <c r="I483" s="95"/>
    </row>
    <row r="484" spans="3:9">
      <c r="C484" s="95"/>
      <c r="D484" s="224"/>
      <c r="E484" s="95"/>
      <c r="F484" s="95"/>
      <c r="G484" s="95"/>
      <c r="H484" s="95"/>
      <c r="I484" s="95"/>
    </row>
    <row r="485" spans="3:9">
      <c r="C485" s="95"/>
      <c r="D485" s="224"/>
      <c r="E485" s="95"/>
      <c r="F485" s="95"/>
      <c r="G485" s="95"/>
      <c r="H485" s="95"/>
      <c r="I485" s="95"/>
    </row>
    <row r="486" spans="3:9">
      <c r="C486" s="95"/>
      <c r="D486" s="224"/>
      <c r="E486" s="95"/>
      <c r="F486" s="95"/>
      <c r="G486" s="95"/>
      <c r="H486" s="95"/>
      <c r="I486" s="95"/>
    </row>
    <row r="487" spans="3:9">
      <c r="C487" s="95"/>
      <c r="D487" s="224"/>
      <c r="E487" s="95"/>
      <c r="F487" s="95"/>
      <c r="G487" s="95"/>
      <c r="H487" s="95"/>
      <c r="I487" s="95"/>
    </row>
    <row r="488" spans="3:9">
      <c r="C488" s="95"/>
      <c r="D488" s="224"/>
      <c r="E488" s="95"/>
      <c r="F488" s="95"/>
      <c r="G488" s="95"/>
      <c r="H488" s="95"/>
      <c r="I488" s="95"/>
    </row>
    <row r="489" spans="3:9">
      <c r="C489" s="95"/>
      <c r="D489" s="224"/>
      <c r="E489" s="95"/>
      <c r="F489" s="95"/>
      <c r="G489" s="95"/>
      <c r="H489" s="95"/>
      <c r="I489" s="95"/>
    </row>
    <row r="490" spans="3:9">
      <c r="C490" s="95"/>
      <c r="D490" s="224"/>
      <c r="E490" s="95"/>
      <c r="F490" s="95"/>
      <c r="G490" s="95"/>
      <c r="H490" s="95"/>
      <c r="I490" s="95"/>
    </row>
    <row r="491" spans="3:9">
      <c r="C491" s="95"/>
      <c r="D491" s="224"/>
      <c r="E491" s="95"/>
      <c r="F491" s="95"/>
      <c r="G491" s="95"/>
      <c r="H491" s="95"/>
      <c r="I491" s="95"/>
    </row>
    <row r="492" spans="3:9">
      <c r="C492" s="95"/>
      <c r="D492" s="224"/>
      <c r="E492" s="95"/>
      <c r="F492" s="95"/>
      <c r="G492" s="95"/>
      <c r="H492" s="95"/>
      <c r="I492" s="95"/>
    </row>
    <row r="493" spans="3:9">
      <c r="C493" s="95"/>
      <c r="D493" s="224"/>
      <c r="E493" s="95"/>
      <c r="F493" s="95"/>
      <c r="G493" s="95"/>
      <c r="H493" s="95"/>
      <c r="I493" s="95"/>
    </row>
    <row r="494" spans="3:9">
      <c r="C494" s="95"/>
      <c r="D494" s="224"/>
      <c r="E494" s="95"/>
      <c r="F494" s="95"/>
      <c r="G494" s="95"/>
      <c r="H494" s="95"/>
      <c r="I494" s="95"/>
    </row>
    <row r="495" spans="3:9">
      <c r="C495" s="95"/>
      <c r="D495" s="224"/>
      <c r="E495" s="95"/>
      <c r="F495" s="95"/>
      <c r="G495" s="95"/>
      <c r="H495" s="95"/>
      <c r="I495" s="95"/>
    </row>
    <row r="496" spans="3:9">
      <c r="C496" s="95"/>
      <c r="D496" s="224"/>
      <c r="E496" s="95"/>
      <c r="F496" s="95"/>
      <c r="G496" s="95"/>
      <c r="H496" s="95"/>
      <c r="I496" s="95"/>
    </row>
    <row r="497" spans="3:9">
      <c r="C497" s="95"/>
      <c r="D497" s="224"/>
      <c r="E497" s="95"/>
      <c r="F497" s="95"/>
      <c r="G497" s="95"/>
      <c r="H497" s="95"/>
      <c r="I497" s="95"/>
    </row>
    <row r="498" spans="3:9">
      <c r="C498" s="95"/>
      <c r="D498" s="224"/>
      <c r="E498" s="95"/>
      <c r="F498" s="95"/>
      <c r="G498" s="95"/>
      <c r="H498" s="95"/>
      <c r="I498" s="95"/>
    </row>
    <row r="499" spans="3:9">
      <c r="C499" s="95"/>
      <c r="D499" s="224"/>
      <c r="E499" s="95"/>
      <c r="F499" s="95"/>
      <c r="G499" s="95"/>
      <c r="H499" s="95"/>
      <c r="I499" s="95"/>
    </row>
    <row r="500" spans="3:9">
      <c r="C500" s="95"/>
      <c r="D500" s="224"/>
      <c r="E500" s="95"/>
      <c r="F500" s="95"/>
      <c r="G500" s="95"/>
      <c r="H500" s="95"/>
      <c r="I500" s="95"/>
    </row>
    <row r="501" spans="3:9">
      <c r="C501" s="95"/>
      <c r="D501" s="224"/>
      <c r="E501" s="95"/>
      <c r="F501" s="95"/>
      <c r="G501" s="95"/>
      <c r="H501" s="95"/>
      <c r="I501" s="95"/>
    </row>
    <row r="502" spans="3:9">
      <c r="C502" s="95"/>
      <c r="D502" s="224"/>
      <c r="E502" s="95"/>
      <c r="F502" s="95"/>
      <c r="G502" s="95"/>
      <c r="H502" s="95"/>
      <c r="I502" s="95"/>
    </row>
    <row r="503" spans="3:9">
      <c r="C503" s="95"/>
      <c r="D503" s="224"/>
      <c r="E503" s="95"/>
      <c r="F503" s="95"/>
      <c r="G503" s="95"/>
      <c r="H503" s="95"/>
      <c r="I503" s="95"/>
    </row>
    <row r="504" spans="3:9">
      <c r="C504" s="95"/>
      <c r="D504" s="224"/>
      <c r="E504" s="95"/>
      <c r="F504" s="95"/>
      <c r="G504" s="95"/>
      <c r="H504" s="95"/>
      <c r="I504" s="95"/>
    </row>
    <row r="505" spans="3:9">
      <c r="C505" s="95"/>
      <c r="D505" s="224"/>
      <c r="E505" s="95"/>
      <c r="F505" s="95"/>
      <c r="G505" s="95"/>
      <c r="H505" s="95"/>
      <c r="I505" s="95"/>
    </row>
    <row r="506" spans="3:9">
      <c r="C506" s="95"/>
      <c r="D506" s="224"/>
      <c r="E506" s="95"/>
      <c r="F506" s="95"/>
      <c r="G506" s="95"/>
      <c r="H506" s="95"/>
      <c r="I506" s="95"/>
    </row>
    <row r="507" spans="3:9">
      <c r="C507" s="95"/>
      <c r="D507" s="224"/>
      <c r="E507" s="95"/>
      <c r="F507" s="95"/>
      <c r="G507" s="95"/>
      <c r="H507" s="95"/>
      <c r="I507" s="95"/>
    </row>
    <row r="508" spans="3:9">
      <c r="C508" s="95"/>
      <c r="D508" s="224"/>
      <c r="E508" s="95"/>
      <c r="F508" s="95"/>
      <c r="G508" s="95"/>
      <c r="H508" s="95"/>
      <c r="I508" s="95"/>
    </row>
    <row r="509" spans="3:9">
      <c r="C509" s="95"/>
      <c r="D509" s="224"/>
      <c r="E509" s="95"/>
      <c r="F509" s="95"/>
      <c r="G509" s="95"/>
      <c r="H509" s="95"/>
      <c r="I509" s="95"/>
    </row>
    <row r="510" spans="3:9">
      <c r="C510" s="95"/>
      <c r="D510" s="224"/>
      <c r="E510" s="95"/>
      <c r="F510" s="95"/>
      <c r="G510" s="95"/>
      <c r="H510" s="95"/>
      <c r="I510" s="95"/>
    </row>
    <row r="511" spans="3:9">
      <c r="C511" s="95"/>
      <c r="D511" s="224"/>
      <c r="E511" s="95"/>
      <c r="F511" s="95"/>
      <c r="G511" s="95"/>
      <c r="H511" s="95"/>
      <c r="I511" s="95"/>
    </row>
    <row r="512" spans="3:9">
      <c r="C512" s="95"/>
      <c r="D512" s="224"/>
      <c r="E512" s="95"/>
      <c r="F512" s="95"/>
      <c r="G512" s="95"/>
      <c r="H512" s="95"/>
      <c r="I512" s="95"/>
    </row>
    <row r="513" spans="3:9">
      <c r="C513" s="95"/>
      <c r="D513" s="224"/>
      <c r="E513" s="95"/>
      <c r="F513" s="95"/>
      <c r="G513" s="95"/>
      <c r="H513" s="95"/>
      <c r="I513" s="95"/>
    </row>
    <row r="514" spans="3:9">
      <c r="C514" s="95"/>
      <c r="D514" s="224"/>
      <c r="E514" s="95"/>
      <c r="F514" s="95"/>
      <c r="G514" s="95"/>
      <c r="H514" s="95"/>
      <c r="I514" s="95"/>
    </row>
    <row r="515" spans="3:9">
      <c r="C515" s="95"/>
      <c r="D515" s="224"/>
      <c r="E515" s="95"/>
      <c r="F515" s="95"/>
      <c r="G515" s="95"/>
      <c r="H515" s="95"/>
      <c r="I515" s="95"/>
    </row>
    <row r="516" spans="3:9">
      <c r="C516" s="95"/>
      <c r="D516" s="224"/>
      <c r="E516" s="95"/>
      <c r="F516" s="95"/>
      <c r="G516" s="95"/>
      <c r="H516" s="95"/>
      <c r="I516" s="95"/>
    </row>
    <row r="517" spans="3:9">
      <c r="C517" s="95"/>
      <c r="D517" s="224"/>
      <c r="E517" s="95"/>
      <c r="F517" s="95"/>
      <c r="G517" s="95"/>
      <c r="H517" s="95"/>
      <c r="I517" s="95"/>
    </row>
    <row r="518" spans="3:9">
      <c r="C518" s="95"/>
      <c r="D518" s="224"/>
      <c r="E518" s="95"/>
      <c r="F518" s="95"/>
      <c r="G518" s="95"/>
      <c r="H518" s="95"/>
      <c r="I518" s="95"/>
    </row>
    <row r="519" spans="3:9">
      <c r="C519" s="95"/>
      <c r="D519" s="224"/>
      <c r="E519" s="95"/>
      <c r="F519" s="95"/>
      <c r="G519" s="95"/>
      <c r="H519" s="95"/>
      <c r="I519" s="95"/>
    </row>
    <row r="520" spans="3:9">
      <c r="C520" s="95"/>
      <c r="D520" s="224"/>
      <c r="E520" s="95"/>
      <c r="F520" s="95"/>
      <c r="G520" s="95"/>
      <c r="H520" s="95"/>
      <c r="I520" s="95"/>
    </row>
    <row r="521" spans="3:9">
      <c r="C521" s="95"/>
      <c r="D521" s="224"/>
      <c r="E521" s="95"/>
      <c r="F521" s="95"/>
      <c r="G521" s="95"/>
      <c r="H521" s="95"/>
      <c r="I521" s="95"/>
    </row>
    <row r="522" spans="3:9">
      <c r="C522" s="95"/>
      <c r="D522" s="224"/>
      <c r="E522" s="95"/>
      <c r="F522" s="95"/>
      <c r="G522" s="95"/>
      <c r="H522" s="95"/>
      <c r="I522" s="95"/>
    </row>
    <row r="523" spans="3:9">
      <c r="C523" s="95"/>
      <c r="D523" s="224"/>
      <c r="E523" s="95"/>
      <c r="F523" s="95"/>
      <c r="G523" s="95"/>
      <c r="H523" s="95"/>
      <c r="I523" s="95"/>
    </row>
    <row r="524" spans="3:9">
      <c r="C524" s="95"/>
      <c r="D524" s="224"/>
      <c r="E524" s="95"/>
      <c r="F524" s="95"/>
      <c r="G524" s="95"/>
      <c r="H524" s="95"/>
      <c r="I524" s="95"/>
    </row>
    <row r="525" spans="3:9">
      <c r="C525" s="95"/>
      <c r="D525" s="224"/>
      <c r="E525" s="95"/>
      <c r="F525" s="95"/>
      <c r="G525" s="95"/>
      <c r="H525" s="95"/>
      <c r="I525" s="95"/>
    </row>
    <row r="526" spans="3:9">
      <c r="C526" s="95"/>
      <c r="D526" s="224"/>
      <c r="E526" s="95"/>
      <c r="F526" s="95"/>
      <c r="G526" s="95"/>
      <c r="H526" s="95"/>
      <c r="I526" s="95"/>
    </row>
    <row r="527" spans="3:9">
      <c r="C527" s="95"/>
      <c r="D527" s="224"/>
      <c r="E527" s="95"/>
      <c r="F527" s="95"/>
      <c r="G527" s="95"/>
      <c r="H527" s="95"/>
      <c r="I527" s="95"/>
    </row>
    <row r="528" spans="3:9">
      <c r="C528" s="95"/>
      <c r="D528" s="224"/>
      <c r="E528" s="95"/>
      <c r="F528" s="95"/>
      <c r="G528" s="95"/>
      <c r="H528" s="95"/>
      <c r="I528" s="95"/>
    </row>
    <row r="529" spans="3:9">
      <c r="C529" s="95"/>
      <c r="D529" s="224"/>
      <c r="E529" s="95"/>
      <c r="F529" s="95"/>
      <c r="G529" s="95"/>
      <c r="H529" s="95"/>
      <c r="I529" s="95"/>
    </row>
    <row r="530" spans="3:9">
      <c r="C530" s="95"/>
      <c r="D530" s="224"/>
      <c r="E530" s="95"/>
      <c r="F530" s="95"/>
      <c r="G530" s="95"/>
      <c r="H530" s="95"/>
      <c r="I530" s="95"/>
    </row>
    <row r="531" spans="3:9">
      <c r="C531" s="95"/>
      <c r="D531" s="224"/>
      <c r="E531" s="95"/>
      <c r="F531" s="95"/>
      <c r="G531" s="95"/>
      <c r="H531" s="95"/>
      <c r="I531" s="95"/>
    </row>
    <row r="532" spans="3:9">
      <c r="C532" s="95"/>
      <c r="D532" s="224"/>
      <c r="E532" s="95"/>
      <c r="F532" s="95"/>
      <c r="G532" s="95"/>
      <c r="H532" s="95"/>
      <c r="I532" s="95"/>
    </row>
    <row r="533" spans="3:9">
      <c r="C533" s="95"/>
      <c r="D533" s="224"/>
      <c r="E533" s="95"/>
      <c r="F533" s="95"/>
      <c r="G533" s="95"/>
      <c r="H533" s="95"/>
      <c r="I533" s="95"/>
    </row>
    <row r="534" spans="3:9">
      <c r="C534" s="95"/>
      <c r="D534" s="224"/>
      <c r="E534" s="95"/>
      <c r="F534" s="95"/>
      <c r="G534" s="95"/>
      <c r="H534" s="95"/>
      <c r="I534" s="95"/>
    </row>
    <row r="535" spans="3:9">
      <c r="C535" s="95"/>
      <c r="D535" s="224"/>
      <c r="E535" s="95"/>
      <c r="F535" s="95"/>
      <c r="G535" s="95"/>
      <c r="H535" s="95"/>
      <c r="I535" s="95"/>
    </row>
    <row r="536" spans="3:9">
      <c r="C536" s="95"/>
      <c r="D536" s="224"/>
      <c r="E536" s="95"/>
      <c r="F536" s="95"/>
      <c r="G536" s="95"/>
      <c r="H536" s="95"/>
      <c r="I536" s="95"/>
    </row>
    <row r="537" spans="3:9">
      <c r="C537" s="95"/>
      <c r="D537" s="224"/>
      <c r="E537" s="95"/>
      <c r="F537" s="95"/>
      <c r="G537" s="95"/>
      <c r="H537" s="95"/>
      <c r="I537" s="95"/>
    </row>
    <row r="538" spans="3:9">
      <c r="C538" s="95"/>
      <c r="D538" s="224"/>
      <c r="E538" s="95"/>
      <c r="F538" s="95"/>
      <c r="G538" s="95"/>
      <c r="H538" s="95"/>
      <c r="I538" s="95"/>
    </row>
    <row r="539" spans="3:9">
      <c r="C539" s="95"/>
      <c r="D539" s="224"/>
      <c r="E539" s="95"/>
      <c r="F539" s="95"/>
      <c r="G539" s="95"/>
      <c r="H539" s="95"/>
      <c r="I539" s="95"/>
    </row>
    <row r="540" spans="3:9">
      <c r="C540" s="95"/>
      <c r="D540" s="224"/>
      <c r="E540" s="95"/>
      <c r="F540" s="95"/>
      <c r="G540" s="95"/>
      <c r="H540" s="95"/>
      <c r="I540" s="95"/>
    </row>
    <row r="541" spans="3:9">
      <c r="C541" s="95"/>
      <c r="D541" s="224"/>
      <c r="E541" s="95"/>
      <c r="F541" s="95"/>
      <c r="G541" s="95"/>
      <c r="H541" s="95"/>
      <c r="I541" s="95"/>
    </row>
    <row r="542" spans="3:9">
      <c r="C542" s="95"/>
      <c r="D542" s="224"/>
      <c r="E542" s="95"/>
      <c r="F542" s="95"/>
      <c r="G542" s="95"/>
      <c r="H542" s="95"/>
      <c r="I542" s="95"/>
    </row>
    <row r="543" spans="3:9">
      <c r="C543" s="95"/>
      <c r="D543" s="224"/>
      <c r="E543" s="95"/>
      <c r="F543" s="95"/>
      <c r="G543" s="95"/>
      <c r="H543" s="95"/>
      <c r="I543" s="95"/>
    </row>
    <row r="544" spans="3:9">
      <c r="C544" s="95"/>
      <c r="D544" s="224"/>
      <c r="E544" s="95"/>
      <c r="F544" s="95"/>
      <c r="G544" s="95"/>
      <c r="H544" s="95"/>
      <c r="I544" s="95"/>
    </row>
    <row r="545" spans="3:9">
      <c r="C545" s="95"/>
      <c r="D545" s="224"/>
      <c r="E545" s="95"/>
      <c r="F545" s="95"/>
      <c r="G545" s="95"/>
      <c r="H545" s="95"/>
      <c r="I545" s="95"/>
    </row>
    <row r="546" spans="3:9">
      <c r="C546" s="95"/>
      <c r="D546" s="224"/>
      <c r="E546" s="95"/>
      <c r="F546" s="95"/>
      <c r="G546" s="95"/>
      <c r="H546" s="95"/>
      <c r="I546" s="95"/>
    </row>
    <row r="547" spans="3:9">
      <c r="C547" s="95"/>
      <c r="D547" s="224"/>
      <c r="E547" s="95"/>
      <c r="F547" s="95"/>
      <c r="G547" s="95"/>
      <c r="H547" s="95"/>
      <c r="I547" s="95"/>
    </row>
    <row r="548" spans="3:9">
      <c r="C548" s="95"/>
      <c r="D548" s="224"/>
      <c r="E548" s="95"/>
      <c r="F548" s="95"/>
      <c r="G548" s="95"/>
      <c r="H548" s="95"/>
      <c r="I548" s="95"/>
    </row>
    <row r="549" spans="3:9">
      <c r="C549" s="95"/>
      <c r="D549" s="224"/>
      <c r="E549" s="95"/>
      <c r="F549" s="95"/>
      <c r="G549" s="95"/>
      <c r="H549" s="95"/>
      <c r="I549" s="95"/>
    </row>
    <row r="550" spans="3:9">
      <c r="C550" s="95"/>
      <c r="D550" s="224"/>
      <c r="E550" s="95"/>
      <c r="F550" s="95"/>
      <c r="G550" s="95"/>
      <c r="H550" s="95"/>
      <c r="I550" s="95"/>
    </row>
    <row r="551" spans="3:9">
      <c r="C551" s="95"/>
      <c r="D551" s="224"/>
      <c r="E551" s="95"/>
      <c r="F551" s="95"/>
      <c r="G551" s="95"/>
      <c r="H551" s="95"/>
      <c r="I551" s="95"/>
    </row>
    <row r="552" spans="3:9">
      <c r="C552" s="95"/>
      <c r="D552" s="224"/>
      <c r="E552" s="95"/>
      <c r="F552" s="95"/>
      <c r="G552" s="95"/>
      <c r="H552" s="95"/>
      <c r="I552" s="95"/>
    </row>
    <row r="553" spans="3:9">
      <c r="C553" s="95"/>
      <c r="D553" s="95"/>
      <c r="E553" s="95"/>
      <c r="F553" s="95"/>
      <c r="G553" s="95"/>
      <c r="H553" s="95"/>
      <c r="I553" s="95"/>
    </row>
    <row r="554" spans="3:9">
      <c r="C554" s="95"/>
      <c r="D554" s="95"/>
      <c r="E554" s="95"/>
      <c r="F554" s="95"/>
      <c r="G554" s="95"/>
      <c r="H554" s="95"/>
      <c r="I554" s="95"/>
    </row>
    <row r="555" spans="3:9">
      <c r="C555" s="95"/>
      <c r="D555" s="95"/>
      <c r="E555" s="95"/>
      <c r="F555" s="95"/>
      <c r="G555" s="95"/>
      <c r="H555" s="95"/>
      <c r="I555" s="95"/>
    </row>
    <row r="556" spans="3:9">
      <c r="C556" s="95"/>
      <c r="D556" s="95"/>
      <c r="E556" s="95"/>
      <c r="F556" s="95"/>
      <c r="G556" s="95"/>
      <c r="H556" s="95"/>
      <c r="I556" s="9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topLeftCell="A121" workbookViewId="0">
      <selection activeCell="B123" sqref="B123"/>
    </sheetView>
  </sheetViews>
  <sheetFormatPr baseColWidth="10" defaultRowHeight="14.4"/>
  <sheetData>
    <row r="1" spans="1:3">
      <c r="A1" t="s">
        <v>69</v>
      </c>
    </row>
    <row r="2" spans="1:3">
      <c r="A2">
        <v>4.09</v>
      </c>
      <c r="B2">
        <v>4.25</v>
      </c>
      <c r="C2">
        <f>+B2*A2</f>
        <v>17.3825</v>
      </c>
    </row>
    <row r="3" spans="1:3">
      <c r="A3">
        <v>3.91</v>
      </c>
      <c r="B3">
        <v>4.25</v>
      </c>
      <c r="C3">
        <f t="shared" ref="C3:C16" si="0">+B3*A3</f>
        <v>16.6175</v>
      </c>
    </row>
    <row r="4" spans="1:3">
      <c r="A4">
        <v>1.1200000000000001</v>
      </c>
      <c r="B4">
        <v>4.25</v>
      </c>
      <c r="C4">
        <f t="shared" si="0"/>
        <v>4.7600000000000007</v>
      </c>
    </row>
    <row r="5" spans="1:3">
      <c r="A5">
        <v>4.09</v>
      </c>
      <c r="B5">
        <v>4.25</v>
      </c>
      <c r="C5">
        <f t="shared" si="0"/>
        <v>17.3825</v>
      </c>
    </row>
    <row r="6" spans="1:3">
      <c r="A6">
        <v>1.25</v>
      </c>
      <c r="B6">
        <v>1.1000000000000001</v>
      </c>
      <c r="C6">
        <f t="shared" si="0"/>
        <v>1.375</v>
      </c>
    </row>
    <row r="7" spans="1:3">
      <c r="A7">
        <v>1.1499999999999999</v>
      </c>
      <c r="B7">
        <v>1.01</v>
      </c>
      <c r="C7">
        <f t="shared" si="0"/>
        <v>1.1615</v>
      </c>
    </row>
    <row r="8" spans="1:3">
      <c r="A8">
        <v>12.2</v>
      </c>
      <c r="B8">
        <v>4.25</v>
      </c>
      <c r="C8">
        <f t="shared" si="0"/>
        <v>51.849999999999994</v>
      </c>
    </row>
    <row r="9" spans="1:3">
      <c r="A9">
        <v>3.87</v>
      </c>
      <c r="B9">
        <v>4.25</v>
      </c>
      <c r="C9">
        <f t="shared" si="0"/>
        <v>16.447500000000002</v>
      </c>
    </row>
    <row r="10" spans="1:3">
      <c r="A10">
        <v>4.66</v>
      </c>
      <c r="B10">
        <v>4.25</v>
      </c>
      <c r="C10">
        <f t="shared" si="0"/>
        <v>19.805</v>
      </c>
    </row>
    <row r="11" spans="1:3">
      <c r="A11">
        <v>2.4900000000000002</v>
      </c>
      <c r="B11">
        <v>3.28</v>
      </c>
      <c r="C11">
        <f t="shared" si="0"/>
        <v>8.1671999999999993</v>
      </c>
    </row>
    <row r="12" spans="1:3">
      <c r="A12">
        <v>2.5</v>
      </c>
      <c r="B12">
        <v>3.28</v>
      </c>
      <c r="C12">
        <f t="shared" si="0"/>
        <v>8.1999999999999993</v>
      </c>
    </row>
    <row r="13" spans="1:3">
      <c r="A13">
        <v>1.1000000000000001</v>
      </c>
      <c r="B13">
        <v>3.28</v>
      </c>
      <c r="C13">
        <f t="shared" si="0"/>
        <v>3.6080000000000001</v>
      </c>
    </row>
    <row r="14" spans="1:3">
      <c r="A14">
        <v>2.5</v>
      </c>
      <c r="B14">
        <v>3.28</v>
      </c>
      <c r="C14">
        <f t="shared" si="0"/>
        <v>8.1999999999999993</v>
      </c>
    </row>
    <row r="15" spans="1:3">
      <c r="A15">
        <v>4.66</v>
      </c>
      <c r="B15">
        <v>4.25</v>
      </c>
      <c r="C15">
        <f t="shared" si="0"/>
        <v>19.805</v>
      </c>
    </row>
    <row r="16" spans="1:3">
      <c r="A16">
        <v>4.5</v>
      </c>
      <c r="B16">
        <v>4.25</v>
      </c>
      <c r="C16">
        <f t="shared" si="0"/>
        <v>19.125</v>
      </c>
    </row>
    <row r="17" spans="1:3">
      <c r="C17">
        <f>SUM(C2:C16)</f>
        <v>213.88669999999999</v>
      </c>
    </row>
    <row r="32" spans="1:3">
      <c r="A32" t="s">
        <v>70</v>
      </c>
    </row>
    <row r="33" spans="1:3">
      <c r="A33">
        <v>5.13</v>
      </c>
      <c r="B33">
        <v>1</v>
      </c>
      <c r="C33">
        <f t="shared" ref="C33:C35" si="1">+B33*A33</f>
        <v>5.13</v>
      </c>
    </row>
    <row r="34" spans="1:3">
      <c r="A34">
        <v>2.98</v>
      </c>
      <c r="B34">
        <v>1</v>
      </c>
      <c r="C34">
        <f t="shared" si="1"/>
        <v>2.98</v>
      </c>
    </row>
    <row r="35" spans="1:3">
      <c r="A35">
        <v>3.91</v>
      </c>
      <c r="B35">
        <v>1</v>
      </c>
      <c r="C35">
        <f t="shared" si="1"/>
        <v>3.91</v>
      </c>
    </row>
    <row r="36" spans="1:3">
      <c r="C36">
        <f>SUM(C33:C35)</f>
        <v>12.02</v>
      </c>
    </row>
    <row r="40" spans="1:3">
      <c r="A40" t="s">
        <v>75</v>
      </c>
    </row>
    <row r="41" spans="1:3">
      <c r="A41">
        <v>1.31</v>
      </c>
      <c r="B41">
        <v>3.28</v>
      </c>
      <c r="C41">
        <f>+B41*A41</f>
        <v>4.2968000000000002</v>
      </c>
    </row>
    <row r="42" spans="1:3">
      <c r="A42">
        <v>1.28</v>
      </c>
      <c r="B42">
        <v>3.28</v>
      </c>
      <c r="C42">
        <f t="shared" ref="C42:C52" si="2">+B42*A42</f>
        <v>4.1983999999999995</v>
      </c>
    </row>
    <row r="43" spans="1:3">
      <c r="A43">
        <v>2.4</v>
      </c>
      <c r="B43">
        <v>3.28</v>
      </c>
      <c r="C43">
        <f t="shared" si="2"/>
        <v>7.871999999999999</v>
      </c>
    </row>
    <row r="44" spans="1:3">
      <c r="A44">
        <v>1.55</v>
      </c>
      <c r="B44">
        <v>3.28</v>
      </c>
      <c r="C44">
        <f t="shared" si="2"/>
        <v>5.0839999999999996</v>
      </c>
    </row>
    <row r="45" spans="1:3">
      <c r="A45">
        <v>4.66</v>
      </c>
      <c r="B45">
        <v>3.28</v>
      </c>
      <c r="C45">
        <f t="shared" si="2"/>
        <v>15.284799999999999</v>
      </c>
    </row>
    <row r="46" spans="1:3">
      <c r="A46">
        <v>2.97</v>
      </c>
      <c r="B46">
        <v>3.28</v>
      </c>
      <c r="C46">
        <f t="shared" si="2"/>
        <v>9.7416</v>
      </c>
    </row>
    <row r="47" spans="1:3">
      <c r="A47">
        <v>1.6</v>
      </c>
      <c r="B47">
        <v>3.28</v>
      </c>
      <c r="C47">
        <f t="shared" si="2"/>
        <v>5.2480000000000002</v>
      </c>
    </row>
    <row r="48" spans="1:3">
      <c r="A48">
        <v>1.58</v>
      </c>
      <c r="B48">
        <v>3.28</v>
      </c>
      <c r="C48">
        <f t="shared" si="2"/>
        <v>5.1824000000000003</v>
      </c>
    </row>
    <row r="49" spans="1:4">
      <c r="A49">
        <v>1.62</v>
      </c>
      <c r="B49">
        <v>3.28</v>
      </c>
      <c r="C49">
        <f t="shared" si="2"/>
        <v>5.3136000000000001</v>
      </c>
    </row>
    <row r="50" spans="1:4">
      <c r="A50">
        <v>4.5</v>
      </c>
      <c r="B50">
        <v>3.28</v>
      </c>
      <c r="C50">
        <f t="shared" si="2"/>
        <v>14.76</v>
      </c>
    </row>
    <row r="51" spans="1:4">
      <c r="A51">
        <v>4.5</v>
      </c>
      <c r="B51">
        <v>3.28</v>
      </c>
      <c r="C51">
        <f t="shared" si="2"/>
        <v>14.76</v>
      </c>
    </row>
    <row r="52" spans="1:4">
      <c r="A52">
        <v>4.5</v>
      </c>
      <c r="B52">
        <v>3.28</v>
      </c>
      <c r="C52">
        <f t="shared" si="2"/>
        <v>14.76</v>
      </c>
    </row>
    <row r="53" spans="1:4">
      <c r="B53" t="s">
        <v>20</v>
      </c>
      <c r="C53">
        <f>SUM(C41:C52)</f>
        <v>106.50160000000001</v>
      </c>
    </row>
    <row r="54" spans="1:4">
      <c r="B54" t="s">
        <v>26</v>
      </c>
      <c r="C54" s="2">
        <f>SUM(C41:C52)*(3.28*3.28)</f>
        <v>1145.7868134399998</v>
      </c>
    </row>
    <row r="56" spans="1:4">
      <c r="A56" t="s">
        <v>76</v>
      </c>
      <c r="D56" t="s">
        <v>78</v>
      </c>
    </row>
    <row r="57" spans="1:4">
      <c r="A57">
        <v>1.75</v>
      </c>
      <c r="B57">
        <v>3.28</v>
      </c>
      <c r="C57">
        <f>+B57*A57</f>
        <v>5.7399999999999993</v>
      </c>
    </row>
    <row r="58" spans="1:4">
      <c r="A58">
        <v>3.1</v>
      </c>
      <c r="B58">
        <v>3.28</v>
      </c>
      <c r="C58">
        <f t="shared" ref="C58:C67" si="3">+B58*A58</f>
        <v>10.167999999999999</v>
      </c>
    </row>
    <row r="59" spans="1:4">
      <c r="A59">
        <v>1.9</v>
      </c>
      <c r="B59">
        <v>3.28</v>
      </c>
      <c r="C59">
        <f t="shared" si="3"/>
        <v>6.2319999999999993</v>
      </c>
    </row>
    <row r="60" spans="1:4">
      <c r="A60">
        <v>2.0499999999999998</v>
      </c>
      <c r="B60">
        <v>3.28</v>
      </c>
      <c r="C60">
        <f t="shared" si="3"/>
        <v>6.7239999999999993</v>
      </c>
    </row>
    <row r="61" spans="1:4">
      <c r="A61">
        <v>3.3</v>
      </c>
      <c r="B61">
        <v>3.28</v>
      </c>
      <c r="C61">
        <f t="shared" si="3"/>
        <v>10.823999999999998</v>
      </c>
    </row>
    <row r="62" spans="1:4">
      <c r="A62">
        <v>1.8</v>
      </c>
      <c r="B62">
        <v>3.28</v>
      </c>
      <c r="C62">
        <f t="shared" si="3"/>
        <v>5.9039999999999999</v>
      </c>
    </row>
    <row r="63" spans="1:4">
      <c r="A63">
        <v>2.58</v>
      </c>
      <c r="B63">
        <v>3.28</v>
      </c>
      <c r="C63">
        <f t="shared" si="3"/>
        <v>8.4624000000000006</v>
      </c>
    </row>
    <row r="64" spans="1:4">
      <c r="A64">
        <v>1.98</v>
      </c>
      <c r="B64">
        <v>3.28</v>
      </c>
      <c r="C64">
        <f t="shared" si="3"/>
        <v>6.4943999999999997</v>
      </c>
    </row>
    <row r="65" spans="1:3">
      <c r="A65">
        <v>1.71</v>
      </c>
      <c r="B65">
        <v>3.28</v>
      </c>
      <c r="C65">
        <f t="shared" si="3"/>
        <v>5.6087999999999996</v>
      </c>
    </row>
    <row r="66" spans="1:3">
      <c r="A66">
        <v>1.75</v>
      </c>
      <c r="B66">
        <v>3.28</v>
      </c>
      <c r="C66">
        <f t="shared" si="3"/>
        <v>5.7399999999999993</v>
      </c>
    </row>
    <row r="67" spans="1:3">
      <c r="A67">
        <v>1.57</v>
      </c>
      <c r="B67">
        <v>3.28</v>
      </c>
      <c r="C67">
        <f t="shared" si="3"/>
        <v>5.1495999999999995</v>
      </c>
    </row>
    <row r="69" spans="1:3">
      <c r="B69" t="s">
        <v>20</v>
      </c>
      <c r="C69">
        <f>SUM(C57:C68)</f>
        <v>77.047200000000004</v>
      </c>
    </row>
    <row r="70" spans="1:3">
      <c r="B70" t="s">
        <v>26</v>
      </c>
      <c r="C70" s="2">
        <f>SUM(C57:C68)*(3.28*3.28)</f>
        <v>828.9045964799999</v>
      </c>
    </row>
    <row r="73" spans="1:3">
      <c r="A73" t="s">
        <v>71</v>
      </c>
    </row>
    <row r="74" spans="1:3">
      <c r="A74">
        <v>362.51</v>
      </c>
    </row>
    <row r="76" spans="1:3">
      <c r="A76" t="s">
        <v>72</v>
      </c>
    </row>
    <row r="77" spans="1:3">
      <c r="A77">
        <v>249.16</v>
      </c>
      <c r="B77">
        <f>+A74-A77</f>
        <v>113.35</v>
      </c>
    </row>
    <row r="79" spans="1:3">
      <c r="A79" t="s">
        <v>73</v>
      </c>
    </row>
    <row r="80" spans="1:3">
      <c r="A80">
        <f>+A77*0.6</f>
        <v>149.49599999999998</v>
      </c>
    </row>
    <row r="82" spans="1:3">
      <c r="A82" t="s">
        <v>199</v>
      </c>
    </row>
    <row r="83" spans="1:3">
      <c r="A83">
        <v>1.75</v>
      </c>
      <c r="B83">
        <v>0.98</v>
      </c>
      <c r="C83">
        <f>+B83*A83</f>
        <v>1.7149999999999999</v>
      </c>
    </row>
    <row r="84" spans="1:3">
      <c r="A84">
        <v>3.1</v>
      </c>
      <c r="B84">
        <v>0.98</v>
      </c>
      <c r="C84">
        <f t="shared" ref="C84:C93" si="4">+B84*A84</f>
        <v>3.0379999999999998</v>
      </c>
    </row>
    <row r="85" spans="1:3">
      <c r="A85">
        <v>1.9</v>
      </c>
      <c r="B85">
        <v>0.98</v>
      </c>
      <c r="C85">
        <f t="shared" si="4"/>
        <v>1.8619999999999999</v>
      </c>
    </row>
    <row r="86" spans="1:3">
      <c r="A86">
        <v>2.0499999999999998</v>
      </c>
      <c r="B86">
        <v>0.98</v>
      </c>
      <c r="C86">
        <f t="shared" si="4"/>
        <v>2.0089999999999999</v>
      </c>
    </row>
    <row r="87" spans="1:3">
      <c r="A87">
        <v>3.3</v>
      </c>
      <c r="B87">
        <v>0.98</v>
      </c>
      <c r="C87">
        <f t="shared" si="4"/>
        <v>3.234</v>
      </c>
    </row>
    <row r="88" spans="1:3">
      <c r="A88">
        <v>1.8</v>
      </c>
      <c r="B88">
        <v>0.98</v>
      </c>
      <c r="C88">
        <f t="shared" si="4"/>
        <v>1.764</v>
      </c>
    </row>
    <row r="89" spans="1:3">
      <c r="A89">
        <v>2.58</v>
      </c>
      <c r="B89">
        <v>0.98</v>
      </c>
      <c r="C89">
        <f t="shared" si="4"/>
        <v>2.5284</v>
      </c>
    </row>
    <row r="90" spans="1:3">
      <c r="A90">
        <v>1.98</v>
      </c>
      <c r="B90">
        <v>0.98</v>
      </c>
      <c r="C90">
        <f t="shared" si="4"/>
        <v>1.9403999999999999</v>
      </c>
    </row>
    <row r="91" spans="1:3">
      <c r="A91">
        <v>1.71</v>
      </c>
      <c r="B91">
        <v>0.98</v>
      </c>
      <c r="C91">
        <f t="shared" si="4"/>
        <v>1.6758</v>
      </c>
    </row>
    <row r="92" spans="1:3">
      <c r="A92">
        <v>1.75</v>
      </c>
      <c r="B92">
        <v>0.98</v>
      </c>
      <c r="C92">
        <f t="shared" si="4"/>
        <v>1.7149999999999999</v>
      </c>
    </row>
    <row r="93" spans="1:3">
      <c r="A93">
        <v>1.57</v>
      </c>
      <c r="B93">
        <v>0.98</v>
      </c>
      <c r="C93">
        <f t="shared" si="4"/>
        <v>1.5386</v>
      </c>
    </row>
    <row r="95" spans="1:3">
      <c r="B95" t="s">
        <v>20</v>
      </c>
      <c r="C95">
        <f>SUM(C83:C94)</f>
        <v>23.020199999999999</v>
      </c>
    </row>
    <row r="96" spans="1:3">
      <c r="C96" s="2"/>
    </row>
    <row r="97" spans="1:7">
      <c r="A97" t="s">
        <v>22</v>
      </c>
      <c r="B97" t="s">
        <v>77</v>
      </c>
    </row>
    <row r="98" spans="1:7">
      <c r="A98">
        <v>3</v>
      </c>
      <c r="B98">
        <v>3.28</v>
      </c>
      <c r="C98">
        <f t="shared" ref="C98:C111" si="5">+B98*A98</f>
        <v>9.84</v>
      </c>
    </row>
    <row r="99" spans="1:7">
      <c r="A99">
        <v>6.1</v>
      </c>
      <c r="B99">
        <v>3.28</v>
      </c>
      <c r="C99">
        <f t="shared" si="5"/>
        <v>20.007999999999999</v>
      </c>
    </row>
    <row r="100" spans="1:7">
      <c r="A100">
        <v>3.51</v>
      </c>
      <c r="B100">
        <v>3.28</v>
      </c>
      <c r="C100">
        <f t="shared" si="5"/>
        <v>11.512799999999999</v>
      </c>
    </row>
    <row r="101" spans="1:7">
      <c r="A101">
        <v>4.1100000000000003</v>
      </c>
      <c r="B101">
        <v>3.28</v>
      </c>
      <c r="C101">
        <f t="shared" si="5"/>
        <v>13.4808</v>
      </c>
    </row>
    <row r="102" spans="1:7">
      <c r="A102">
        <v>2.41</v>
      </c>
      <c r="B102">
        <v>3.28</v>
      </c>
      <c r="C102">
        <f t="shared" si="5"/>
        <v>7.9047999999999998</v>
      </c>
    </row>
    <row r="103" spans="1:7">
      <c r="A103">
        <v>0.4</v>
      </c>
      <c r="B103">
        <v>3.28</v>
      </c>
      <c r="C103">
        <f t="shared" si="5"/>
        <v>1.3120000000000001</v>
      </c>
    </row>
    <row r="104" spans="1:7">
      <c r="A104">
        <v>5.09</v>
      </c>
      <c r="B104">
        <v>3.28</v>
      </c>
      <c r="C104">
        <f t="shared" si="5"/>
        <v>16.6952</v>
      </c>
    </row>
    <row r="105" spans="1:7">
      <c r="A105">
        <v>2.1</v>
      </c>
      <c r="B105">
        <v>3.28</v>
      </c>
      <c r="C105">
        <f t="shared" si="5"/>
        <v>6.8879999999999999</v>
      </c>
    </row>
    <row r="106" spans="1:7">
      <c r="A106">
        <v>3.31</v>
      </c>
      <c r="B106">
        <v>3.28</v>
      </c>
      <c r="C106">
        <f t="shared" si="5"/>
        <v>10.8568</v>
      </c>
      <c r="G106">
        <f>+G152</f>
        <v>0</v>
      </c>
    </row>
    <row r="107" spans="1:7">
      <c r="A107">
        <v>3.71</v>
      </c>
      <c r="B107">
        <v>3.28</v>
      </c>
      <c r="C107">
        <f t="shared" si="5"/>
        <v>12.168799999999999</v>
      </c>
    </row>
    <row r="108" spans="1:7">
      <c r="A108">
        <v>4.09</v>
      </c>
      <c r="B108">
        <v>3.28</v>
      </c>
      <c r="C108">
        <f t="shared" si="5"/>
        <v>13.415199999999999</v>
      </c>
    </row>
    <row r="109" spans="1:7">
      <c r="A109">
        <v>3.91</v>
      </c>
      <c r="B109">
        <v>3.28</v>
      </c>
      <c r="C109">
        <f t="shared" si="5"/>
        <v>12.8248</v>
      </c>
    </row>
    <row r="110" spans="1:7">
      <c r="A110">
        <v>1.1200000000000001</v>
      </c>
      <c r="B110">
        <v>3.28</v>
      </c>
      <c r="C110">
        <f t="shared" si="5"/>
        <v>3.6736</v>
      </c>
    </row>
    <row r="111" spans="1:7">
      <c r="A111">
        <v>2.27</v>
      </c>
      <c r="B111">
        <v>3.28</v>
      </c>
      <c r="C111">
        <f t="shared" si="5"/>
        <v>7.4455999999999998</v>
      </c>
    </row>
    <row r="112" spans="1:7">
      <c r="C112">
        <f>SUM(C98:C111)</f>
        <v>148.02640000000002</v>
      </c>
    </row>
    <row r="114" spans="1:3">
      <c r="A114" t="s">
        <v>198</v>
      </c>
    </row>
    <row r="115" spans="1:3">
      <c r="A115">
        <f>2.7*2</f>
        <v>5.4</v>
      </c>
      <c r="B115">
        <v>3.28</v>
      </c>
      <c r="C115">
        <f>+B115*A115</f>
        <v>17.712</v>
      </c>
    </row>
    <row r="116" spans="1:3">
      <c r="A116">
        <f>2.8+3.2</f>
        <v>6</v>
      </c>
      <c r="B116">
        <v>4.28</v>
      </c>
      <c r="C116">
        <f t="shared" ref="C116:C119" si="6">+B116*A116</f>
        <v>25.68</v>
      </c>
    </row>
    <row r="117" spans="1:3">
      <c r="A117">
        <v>2.2000000000000002</v>
      </c>
      <c r="B117">
        <v>5.28</v>
      </c>
      <c r="C117">
        <f t="shared" si="6"/>
        <v>11.616000000000001</v>
      </c>
    </row>
    <row r="118" spans="1:3">
      <c r="A118">
        <v>2.8</v>
      </c>
      <c r="B118">
        <v>6.28</v>
      </c>
      <c r="C118">
        <f t="shared" si="6"/>
        <v>17.584</v>
      </c>
    </row>
    <row r="119" spans="1:3">
      <c r="A119">
        <f>0.85*2</f>
        <v>1.7</v>
      </c>
      <c r="B119">
        <v>7.28</v>
      </c>
      <c r="C119">
        <f t="shared" si="6"/>
        <v>12.375999999999999</v>
      </c>
    </row>
    <row r="120" spans="1:3">
      <c r="C120">
        <f>SUM(C115:C119)</f>
        <v>84.968000000000004</v>
      </c>
    </row>
    <row r="122" spans="1:3">
      <c r="A122" t="s">
        <v>138</v>
      </c>
    </row>
    <row r="123" spans="1:3">
      <c r="A123">
        <f>19.5</f>
        <v>19.5</v>
      </c>
      <c r="B123">
        <v>3.28</v>
      </c>
      <c r="C123">
        <f>+B123*A123</f>
        <v>63.959999999999994</v>
      </c>
    </row>
    <row r="124" spans="1:3">
      <c r="A124">
        <v>18.45</v>
      </c>
      <c r="B124">
        <v>4.28</v>
      </c>
      <c r="C124">
        <f t="shared" ref="C124:C131" si="7">+B124*A124</f>
        <v>78.966000000000008</v>
      </c>
    </row>
    <row r="125" spans="1:3">
      <c r="A125">
        <v>38.14</v>
      </c>
      <c r="B125">
        <v>5.28</v>
      </c>
      <c r="C125">
        <f t="shared" si="7"/>
        <v>201.37920000000003</v>
      </c>
    </row>
    <row r="126" spans="1:3">
      <c r="A126">
        <v>28.01</v>
      </c>
      <c r="B126">
        <v>6.28</v>
      </c>
      <c r="C126">
        <f t="shared" si="7"/>
        <v>175.90280000000001</v>
      </c>
    </row>
    <row r="127" spans="1:3">
      <c r="A127">
        <v>27.74</v>
      </c>
      <c r="B127">
        <v>7.28</v>
      </c>
      <c r="C127">
        <f t="shared" si="7"/>
        <v>201.94720000000001</v>
      </c>
    </row>
    <row r="128" spans="1:3">
      <c r="A128">
        <v>24.31</v>
      </c>
      <c r="B128">
        <v>8.2799999999999994</v>
      </c>
      <c r="C128">
        <f t="shared" si="7"/>
        <v>201.28679999999997</v>
      </c>
    </row>
    <row r="129" spans="1:3">
      <c r="A129">
        <v>32.44</v>
      </c>
      <c r="B129">
        <v>9.2799999999999994</v>
      </c>
      <c r="C129">
        <f t="shared" si="7"/>
        <v>301.04319999999996</v>
      </c>
    </row>
    <row r="130" spans="1:3">
      <c r="A130">
        <v>22.91</v>
      </c>
      <c r="B130">
        <v>10.28</v>
      </c>
      <c r="C130">
        <f t="shared" si="7"/>
        <v>235.51479999999998</v>
      </c>
    </row>
    <row r="131" spans="1:3">
      <c r="A131">
        <v>18.3</v>
      </c>
      <c r="B131">
        <v>11.28</v>
      </c>
      <c r="C131">
        <f t="shared" si="7"/>
        <v>206.42400000000001</v>
      </c>
    </row>
    <row r="132" spans="1:3">
      <c r="A132">
        <f>-0.95*2</f>
        <v>-1.9</v>
      </c>
      <c r="B132" t="s">
        <v>143</v>
      </c>
    </row>
    <row r="133" spans="1:3">
      <c r="A133">
        <f>+A132</f>
        <v>-1.9</v>
      </c>
      <c r="B133" t="s">
        <v>143</v>
      </c>
    </row>
    <row r="134" spans="1:3">
      <c r="A134">
        <f>-0.95*4</f>
        <v>-3.8</v>
      </c>
      <c r="B134" t="s">
        <v>143</v>
      </c>
    </row>
    <row r="135" spans="1:3">
      <c r="A135">
        <f>-16*(3.63)</f>
        <v>-58.08</v>
      </c>
      <c r="B135" t="s">
        <v>142</v>
      </c>
    </row>
    <row r="136" spans="1:3">
      <c r="C136">
        <f>SUM(C123:C135)</f>
        <v>1666.424</v>
      </c>
    </row>
    <row r="137" spans="1:3">
      <c r="C137">
        <f>SUM(A132:A135)</f>
        <v>-65.679999999999993</v>
      </c>
    </row>
    <row r="138" spans="1:3">
      <c r="C138">
        <f>+C137+C136</f>
        <v>1600.7439999999999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N42"/>
  <sheetViews>
    <sheetView workbookViewId="0">
      <selection activeCell="M21" sqref="M21"/>
    </sheetView>
  </sheetViews>
  <sheetFormatPr baseColWidth="10" defaultRowHeight="14.4"/>
  <cols>
    <col min="4" max="4" width="13.6640625" bestFit="1" customWidth="1"/>
  </cols>
  <sheetData>
    <row r="3" spans="2:11">
      <c r="B3" t="s">
        <v>0</v>
      </c>
      <c r="F3" t="s">
        <v>9</v>
      </c>
      <c r="I3" t="s">
        <v>22</v>
      </c>
    </row>
    <row r="4" spans="2:11">
      <c r="B4">
        <v>1.5</v>
      </c>
      <c r="C4">
        <v>2.72</v>
      </c>
      <c r="D4">
        <f>+C4*B4</f>
        <v>4.08</v>
      </c>
      <c r="F4">
        <v>2.2999999999999998</v>
      </c>
      <c r="G4">
        <f t="shared" ref="G4:G20" si="0">+F4*(2.1+0.6)</f>
        <v>6.21</v>
      </c>
      <c r="I4">
        <v>2</v>
      </c>
      <c r="J4">
        <v>2.72</v>
      </c>
      <c r="K4">
        <f>+J4*I4</f>
        <v>5.44</v>
      </c>
    </row>
    <row r="5" spans="2:11">
      <c r="B5">
        <v>1.4</v>
      </c>
      <c r="C5">
        <v>2.72</v>
      </c>
      <c r="D5">
        <f t="shared" ref="D5:D10" si="1">+C5*B5</f>
        <v>3.8079999999999998</v>
      </c>
      <c r="F5">
        <v>1.8</v>
      </c>
      <c r="G5">
        <f t="shared" si="0"/>
        <v>4.8600000000000003</v>
      </c>
      <c r="I5">
        <v>2.9</v>
      </c>
      <c r="J5">
        <v>2.72</v>
      </c>
      <c r="K5">
        <f t="shared" ref="K5:K25" si="2">+J5*I5</f>
        <v>7.8879999999999999</v>
      </c>
    </row>
    <row r="6" spans="2:11">
      <c r="F6">
        <v>3.3</v>
      </c>
      <c r="G6">
        <f t="shared" si="0"/>
        <v>8.91</v>
      </c>
      <c r="I6">
        <v>2.9</v>
      </c>
      <c r="J6">
        <v>2.72</v>
      </c>
      <c r="K6">
        <f t="shared" si="2"/>
        <v>7.8879999999999999</v>
      </c>
    </row>
    <row r="7" spans="2:11">
      <c r="F7">
        <v>2.4</v>
      </c>
      <c r="G7">
        <f t="shared" si="0"/>
        <v>6.48</v>
      </c>
      <c r="I7">
        <v>2.9</v>
      </c>
      <c r="J7">
        <v>2.72</v>
      </c>
      <c r="K7">
        <f t="shared" si="2"/>
        <v>7.8879999999999999</v>
      </c>
    </row>
    <row r="8" spans="2:11">
      <c r="C8">
        <v>2.72</v>
      </c>
      <c r="D8">
        <f t="shared" si="1"/>
        <v>0</v>
      </c>
      <c r="F8">
        <v>2.7</v>
      </c>
      <c r="G8">
        <f t="shared" si="0"/>
        <v>7.2900000000000009</v>
      </c>
      <c r="I8">
        <v>7.6</v>
      </c>
      <c r="J8">
        <v>2.72</v>
      </c>
      <c r="K8">
        <f t="shared" si="2"/>
        <v>20.672000000000001</v>
      </c>
    </row>
    <row r="9" spans="2:11">
      <c r="C9">
        <v>2.72</v>
      </c>
      <c r="D9">
        <f t="shared" si="1"/>
        <v>0</v>
      </c>
      <c r="F9">
        <v>3.5</v>
      </c>
      <c r="G9">
        <f t="shared" si="0"/>
        <v>9.4500000000000011</v>
      </c>
      <c r="I9">
        <v>7.6</v>
      </c>
      <c r="J9">
        <v>2.72</v>
      </c>
      <c r="K9">
        <f t="shared" si="2"/>
        <v>20.672000000000001</v>
      </c>
    </row>
    <row r="10" spans="2:11">
      <c r="C10">
        <v>2.72</v>
      </c>
      <c r="D10">
        <f t="shared" si="1"/>
        <v>0</v>
      </c>
      <c r="F10">
        <v>2.6</v>
      </c>
      <c r="G10">
        <f t="shared" si="0"/>
        <v>7.0200000000000005</v>
      </c>
      <c r="I10">
        <v>7.6</v>
      </c>
      <c r="J10">
        <v>2.72</v>
      </c>
      <c r="K10">
        <f t="shared" si="2"/>
        <v>20.672000000000001</v>
      </c>
    </row>
    <row r="11" spans="2:11">
      <c r="D11" s="2">
        <f>SUM(D4:D10)</f>
        <v>7.8879999999999999</v>
      </c>
      <c r="F11">
        <v>3.3</v>
      </c>
      <c r="G11">
        <f t="shared" si="0"/>
        <v>8.91</v>
      </c>
      <c r="I11">
        <v>5.6</v>
      </c>
      <c r="J11">
        <v>2.72</v>
      </c>
      <c r="K11">
        <f t="shared" si="2"/>
        <v>15.231999999999999</v>
      </c>
    </row>
    <row r="12" spans="2:11">
      <c r="D12" s="2">
        <f>+D11*(3.28*3.28)</f>
        <v>84.862259199999983</v>
      </c>
      <c r="F12">
        <v>3.9</v>
      </c>
      <c r="G12">
        <f t="shared" si="0"/>
        <v>10.530000000000001</v>
      </c>
      <c r="I12">
        <v>0.8</v>
      </c>
      <c r="J12">
        <v>2.72</v>
      </c>
      <c r="K12">
        <f t="shared" si="2"/>
        <v>2.1760000000000002</v>
      </c>
    </row>
    <row r="13" spans="2:11">
      <c r="D13" s="1">
        <f>+D12*1200</f>
        <v>101834.71103999998</v>
      </c>
      <c r="E13" t="s">
        <v>1</v>
      </c>
      <c r="F13">
        <v>3.5</v>
      </c>
      <c r="G13">
        <f t="shared" si="0"/>
        <v>9.4500000000000011</v>
      </c>
      <c r="I13">
        <v>0.9</v>
      </c>
      <c r="J13">
        <v>2.72</v>
      </c>
      <c r="K13">
        <f t="shared" si="2"/>
        <v>2.4480000000000004</v>
      </c>
    </row>
    <row r="14" spans="2:11">
      <c r="F14">
        <v>0.4</v>
      </c>
      <c r="G14">
        <f t="shared" si="0"/>
        <v>1.08</v>
      </c>
      <c r="I14">
        <v>2.2000000000000002</v>
      </c>
      <c r="J14">
        <v>2.72</v>
      </c>
      <c r="K14">
        <f t="shared" si="2"/>
        <v>5.9840000000000009</v>
      </c>
    </row>
    <row r="15" spans="2:11">
      <c r="D15" s="1">
        <f>+D12*950</f>
        <v>80619.146239999987</v>
      </c>
      <c r="E15" t="s">
        <v>2</v>
      </c>
      <c r="F15">
        <v>0.6</v>
      </c>
      <c r="G15">
        <f t="shared" si="0"/>
        <v>1.62</v>
      </c>
      <c r="I15">
        <v>3.1</v>
      </c>
      <c r="J15">
        <v>2.72</v>
      </c>
      <c r="K15">
        <f t="shared" si="2"/>
        <v>8.4320000000000004</v>
      </c>
    </row>
    <row r="16" spans="2:11">
      <c r="F16">
        <v>3.5</v>
      </c>
      <c r="G16">
        <f t="shared" si="0"/>
        <v>9.4500000000000011</v>
      </c>
      <c r="I16">
        <v>1.6</v>
      </c>
      <c r="J16">
        <v>2.72</v>
      </c>
      <c r="K16">
        <f t="shared" si="2"/>
        <v>4.3520000000000003</v>
      </c>
    </row>
    <row r="17" spans="6:11">
      <c r="F17">
        <v>1.9</v>
      </c>
      <c r="G17">
        <f t="shared" si="0"/>
        <v>5.13</v>
      </c>
      <c r="I17">
        <v>1.1000000000000001</v>
      </c>
      <c r="J17">
        <v>2.72</v>
      </c>
      <c r="K17">
        <f t="shared" si="2"/>
        <v>2.9920000000000004</v>
      </c>
    </row>
    <row r="18" spans="6:11">
      <c r="F18">
        <v>3.5</v>
      </c>
      <c r="G18">
        <f t="shared" si="0"/>
        <v>9.4500000000000011</v>
      </c>
      <c r="I18">
        <v>0.8</v>
      </c>
      <c r="J18">
        <v>2.72</v>
      </c>
      <c r="K18">
        <f t="shared" si="2"/>
        <v>2.1760000000000002</v>
      </c>
    </row>
    <row r="19" spans="6:11">
      <c r="F19">
        <v>3.5</v>
      </c>
      <c r="G19">
        <f t="shared" si="0"/>
        <v>9.4500000000000011</v>
      </c>
      <c r="I19">
        <v>0.9</v>
      </c>
      <c r="J19">
        <v>2.72</v>
      </c>
      <c r="K19">
        <f t="shared" si="2"/>
        <v>2.4480000000000004</v>
      </c>
    </row>
    <row r="20" spans="6:11">
      <c r="F20">
        <v>2</v>
      </c>
      <c r="G20">
        <f t="shared" si="0"/>
        <v>5.4</v>
      </c>
      <c r="I20">
        <v>1.8</v>
      </c>
      <c r="J20">
        <v>2.72</v>
      </c>
      <c r="K20">
        <f t="shared" si="2"/>
        <v>4.8960000000000008</v>
      </c>
    </row>
    <row r="21" spans="6:11">
      <c r="F21">
        <v>2.1</v>
      </c>
      <c r="G21">
        <f>+F21*(2.1+0.6)</f>
        <v>5.6700000000000008</v>
      </c>
      <c r="I21">
        <v>1.2</v>
      </c>
      <c r="J21">
        <v>2.72</v>
      </c>
      <c r="K21">
        <f t="shared" si="2"/>
        <v>3.2640000000000002</v>
      </c>
    </row>
    <row r="22" spans="6:11">
      <c r="G22">
        <f>SUM(G4:G21)</f>
        <v>126.36000000000003</v>
      </c>
      <c r="I22">
        <v>1.4</v>
      </c>
      <c r="J22">
        <v>2.72</v>
      </c>
      <c r="K22">
        <f t="shared" si="2"/>
        <v>3.8079999999999998</v>
      </c>
    </row>
    <row r="23" spans="6:11">
      <c r="I23">
        <v>1.4</v>
      </c>
      <c r="J23">
        <v>2.72</v>
      </c>
      <c r="K23">
        <f t="shared" si="2"/>
        <v>3.8079999999999998</v>
      </c>
    </row>
    <row r="24" spans="6:11">
      <c r="I24">
        <v>1.2</v>
      </c>
      <c r="J24">
        <v>2.72</v>
      </c>
      <c r="K24">
        <f t="shared" si="2"/>
        <v>3.2640000000000002</v>
      </c>
    </row>
    <row r="25" spans="6:11">
      <c r="I25">
        <v>1.2</v>
      </c>
      <c r="J25">
        <v>2.72</v>
      </c>
      <c r="K25">
        <f t="shared" si="2"/>
        <v>3.2640000000000002</v>
      </c>
    </row>
    <row r="26" spans="6:11">
      <c r="I26">
        <v>1.5</v>
      </c>
      <c r="J26">
        <v>2.72</v>
      </c>
      <c r="K26">
        <f>+J26*I26</f>
        <v>4.08</v>
      </c>
    </row>
    <row r="27" spans="6:11">
      <c r="I27">
        <v>1.4</v>
      </c>
      <c r="J27">
        <v>2.72</v>
      </c>
      <c r="K27">
        <f>+J27*I27</f>
        <v>3.8079999999999998</v>
      </c>
    </row>
    <row r="28" spans="6:11">
      <c r="I28">
        <v>2.2000000000000002</v>
      </c>
      <c r="J28">
        <v>2.72</v>
      </c>
      <c r="K28">
        <f>+J28*I28</f>
        <v>5.9840000000000009</v>
      </c>
    </row>
    <row r="29" spans="6:11">
      <c r="I29">
        <v>0.9</v>
      </c>
      <c r="J29">
        <v>2.72</v>
      </c>
      <c r="K29">
        <f>+J29*I29</f>
        <v>2.4480000000000004</v>
      </c>
    </row>
    <row r="30" spans="6:11">
      <c r="I30">
        <v>0.9</v>
      </c>
      <c r="J30">
        <v>2.72</v>
      </c>
      <c r="K30">
        <f>+J30*I30</f>
        <v>2.4480000000000004</v>
      </c>
    </row>
    <row r="31" spans="6:11">
      <c r="K31">
        <f>SUM(K4:K30)</f>
        <v>178.43200000000002</v>
      </c>
    </row>
    <row r="39" spans="3:14">
      <c r="M39">
        <v>2800</v>
      </c>
      <c r="N39" t="s">
        <v>3</v>
      </c>
    </row>
    <row r="42" spans="3:14">
      <c r="C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PRESUPUESTO FINAL</vt:lpstr>
      <vt:lpstr>APU</vt:lpstr>
      <vt:lpstr>Hoja3</vt:lpstr>
      <vt:lpstr>Hoja2</vt:lpstr>
      <vt:lpstr>VOLUMENES</vt:lpstr>
      <vt:lpstr>MEMORIA CALCULO</vt:lpstr>
      <vt:lpstr>Hoja1</vt:lpstr>
      <vt:lpstr>APU!Área_de_impresión</vt:lpstr>
      <vt:lpstr>'PRESUPUESTO FINAL'!Área_de_impresión</vt:lpstr>
      <vt:lpstr>APU!Títulos_a_imprimir</vt:lpstr>
      <vt:lpstr>'PRESUPUESTO FINAL'!Títulos_a_imprimir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Ramon</dc:creator>
  <cp:lastModifiedBy>Usuario</cp:lastModifiedBy>
  <cp:lastPrinted>2024-07-26T15:49:28Z</cp:lastPrinted>
  <dcterms:created xsi:type="dcterms:W3CDTF">2022-06-07T00:48:22Z</dcterms:created>
  <dcterms:modified xsi:type="dcterms:W3CDTF">2024-11-10T22:40:27Z</dcterms:modified>
</cp:coreProperties>
</file>