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uario\Desktop\04 - Ventanas\"/>
    </mc:Choice>
  </mc:AlternateContent>
  <xr:revisionPtr revIDLastSave="0" documentId="13_ncr:1_{884CA684-1AD3-4828-8167-34C93C92E3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SUPUESTO FINAL" sheetId="3" r:id="rId1"/>
    <sheet name="VOLUMENES" sheetId="6" r:id="rId2"/>
    <sheet name="APU" sheetId="4" r:id="rId3"/>
    <sheet name="MEMORIA CALCULO" sheetId="5" r:id="rId4"/>
    <sheet name="Hoja1" sheetId="1" state="hidden" r:id="rId5"/>
  </sheets>
  <externalReferences>
    <externalReference r:id="rId6"/>
  </externalReferences>
  <definedNames>
    <definedName name="_xlnm._FilterDatabase" localSheetId="0" hidden="1">'PRESUPUESTO FINAL'!$A$19:$G$93</definedName>
    <definedName name="_xlnm.Print_Area" localSheetId="2">APU!$A$1:$F$279</definedName>
    <definedName name="_xlnm.Print_Area" localSheetId="0">'PRESUPUESTO FINAL'!$A$3:$G$127</definedName>
    <definedName name="PUERTASMETALICASENTRADADEAULA">'[1]ANALISIS DE COSTO'!$F$1553</definedName>
    <definedName name="_xlnm.Print_Titles" localSheetId="2">APU!$1:$13</definedName>
    <definedName name="_xlnm.Print_Titles" localSheetId="0">'PRESUPUESTO FINAL'!$3:$17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3" l="1"/>
  <c r="C30" i="3"/>
  <c r="C84" i="3" l="1"/>
  <c r="C91" i="3"/>
  <c r="F92" i="3"/>
  <c r="F87" i="3"/>
  <c r="F81" i="3" l="1"/>
  <c r="F85" i="3"/>
  <c r="F86" i="3"/>
  <c r="F88" i="3"/>
  <c r="F89" i="3"/>
  <c r="F90" i="3"/>
  <c r="F91" i="3"/>
  <c r="F84" i="3"/>
  <c r="C6" i="6"/>
  <c r="E6" i="6" s="1"/>
  <c r="C5" i="6"/>
  <c r="C83" i="3"/>
  <c r="F83" i="3" s="1"/>
  <c r="C82" i="3"/>
  <c r="F82" i="3" s="1"/>
  <c r="C80" i="3"/>
  <c r="F80" i="3" s="1"/>
  <c r="C79" i="3"/>
  <c r="F79" i="3" s="1"/>
  <c r="C27" i="3"/>
  <c r="F27" i="3" s="1"/>
  <c r="F26" i="3"/>
  <c r="F24" i="3"/>
  <c r="F25" i="3"/>
  <c r="C49" i="3"/>
  <c r="F49" i="3" s="1"/>
  <c r="F31" i="3"/>
  <c r="C48" i="3" l="1"/>
  <c r="F48" i="3" s="1"/>
  <c r="C47" i="3"/>
  <c r="F47" i="3" s="1"/>
  <c r="F46" i="3"/>
  <c r="F42" i="3"/>
  <c r="F43" i="3"/>
  <c r="F44" i="3"/>
  <c r="F45" i="3"/>
  <c r="B49" i="4"/>
  <c r="B48" i="4"/>
  <c r="D47" i="4"/>
  <c r="F53" i="4"/>
  <c r="F52" i="4"/>
  <c r="F54" i="4" l="1"/>
  <c r="F55" i="4" s="1"/>
  <c r="F56" i="4" s="1"/>
  <c r="E30" i="3" s="1"/>
  <c r="F30" i="3" s="1"/>
  <c r="F28" i="3" l="1"/>
  <c r="F25" i="4"/>
  <c r="F24" i="4"/>
  <c r="F23" i="4"/>
  <c r="F16" i="4"/>
  <c r="E19" i="3" s="1"/>
  <c r="F26" i="4" l="1"/>
  <c r="F27" i="4" s="1"/>
  <c r="E20" i="3" s="1"/>
  <c r="C21" i="3"/>
  <c r="F21" i="3" s="1"/>
  <c r="F78" i="3" l="1"/>
  <c r="F40" i="3"/>
  <c r="A40" i="3"/>
  <c r="A41" i="3" s="1"/>
  <c r="A42" i="3" s="1"/>
  <c r="A43" i="3" s="1"/>
  <c r="A44" i="3" s="1"/>
  <c r="A45" i="3" s="1"/>
  <c r="A46" i="3" s="1"/>
  <c r="A47" i="3" s="1"/>
  <c r="A48" i="3" s="1"/>
  <c r="A49" i="3" s="1"/>
  <c r="F37" i="3"/>
  <c r="G37" i="3" l="1"/>
  <c r="F111" i="4"/>
  <c r="F113" i="4" s="1"/>
  <c r="F110" i="4"/>
  <c r="F112" i="4" l="1"/>
  <c r="A66" i="5"/>
  <c r="A63" i="5"/>
  <c r="C63" i="5" s="1"/>
  <c r="A62" i="5"/>
  <c r="A60" i="5"/>
  <c r="A56" i="5"/>
  <c r="A59" i="5"/>
  <c r="A58" i="5"/>
  <c r="A54" i="5"/>
  <c r="C64" i="5"/>
  <c r="C65" i="5"/>
  <c r="C66" i="5"/>
  <c r="A33" i="3"/>
  <c r="A34" i="3" s="1"/>
  <c r="F88" i="4" l="1"/>
  <c r="F87" i="4"/>
  <c r="F86" i="4"/>
  <c r="F85" i="4"/>
  <c r="F84" i="4"/>
  <c r="F83" i="4"/>
  <c r="F82" i="4"/>
  <c r="F81" i="4"/>
  <c r="F80" i="4"/>
  <c r="F173" i="4"/>
  <c r="F172" i="4"/>
  <c r="F171" i="4"/>
  <c r="F164" i="4"/>
  <c r="F163" i="4"/>
  <c r="F162" i="4"/>
  <c r="F161" i="4"/>
  <c r="F160" i="4"/>
  <c r="F159" i="4"/>
  <c r="F158" i="4"/>
  <c r="F157" i="4"/>
  <c r="F151" i="4"/>
  <c r="F150" i="4"/>
  <c r="F149" i="4"/>
  <c r="F143" i="4"/>
  <c r="F142" i="4"/>
  <c r="F141" i="4"/>
  <c r="F135" i="4"/>
  <c r="F134" i="4"/>
  <c r="F133" i="4"/>
  <c r="E67" i="3"/>
  <c r="F67" i="3" s="1"/>
  <c r="F191" i="4"/>
  <c r="F192" i="4" s="1"/>
  <c r="F193" i="4" s="1"/>
  <c r="F185" i="4"/>
  <c r="F186" i="4" s="1"/>
  <c r="F187" i="4" s="1"/>
  <c r="F269" i="4"/>
  <c r="F270" i="4" s="1"/>
  <c r="F271" i="4" s="1"/>
  <c r="F263" i="4"/>
  <c r="F264" i="4" s="1"/>
  <c r="F265" i="4" s="1"/>
  <c r="F257" i="4"/>
  <c r="F258" i="4" s="1"/>
  <c r="F259" i="4" s="1"/>
  <c r="F251" i="4"/>
  <c r="F252" i="4" s="1"/>
  <c r="F253" i="4" s="1"/>
  <c r="F245" i="4"/>
  <c r="F246" i="4" s="1"/>
  <c r="F247" i="4" s="1"/>
  <c r="F239" i="4"/>
  <c r="F240" i="4" s="1"/>
  <c r="F233" i="4"/>
  <c r="F234" i="4" s="1"/>
  <c r="F235" i="4" s="1"/>
  <c r="F227" i="4"/>
  <c r="F228" i="4" s="1"/>
  <c r="F229" i="4" s="1"/>
  <c r="F221" i="4"/>
  <c r="F222" i="4" s="1"/>
  <c r="F223" i="4" s="1"/>
  <c r="F215" i="4"/>
  <c r="F216" i="4" s="1"/>
  <c r="F217" i="4" s="1"/>
  <c r="F209" i="4"/>
  <c r="F210" i="4" s="1"/>
  <c r="F211" i="4" s="1"/>
  <c r="F203" i="4"/>
  <c r="F204" i="4" s="1"/>
  <c r="F205" i="4" s="1"/>
  <c r="F197" i="4"/>
  <c r="F198" i="4" s="1"/>
  <c r="F199" i="4" s="1"/>
  <c r="F179" i="4"/>
  <c r="F180" i="4" s="1"/>
  <c r="F174" i="4" l="1"/>
  <c r="F175" i="4" s="1"/>
  <c r="F152" i="4"/>
  <c r="F153" i="4" s="1"/>
  <c r="F90" i="4"/>
  <c r="F89" i="4"/>
  <c r="F165" i="4"/>
  <c r="F166" i="4" s="1"/>
  <c r="F144" i="4"/>
  <c r="F136" i="4"/>
  <c r="E72" i="3"/>
  <c r="F72" i="3" s="1"/>
  <c r="E71" i="3"/>
  <c r="F71" i="3" s="1"/>
  <c r="E73" i="3"/>
  <c r="F73" i="3" s="1"/>
  <c r="F181" i="4"/>
  <c r="F241" i="4"/>
  <c r="E68" i="3"/>
  <c r="F68" i="3" s="1"/>
  <c r="E64" i="3"/>
  <c r="F64" i="3" s="1"/>
  <c r="E69" i="3"/>
  <c r="F69" i="3" s="1"/>
  <c r="E63" i="3"/>
  <c r="F63" i="3" s="1"/>
  <c r="E65" i="3"/>
  <c r="F65" i="3" s="1"/>
  <c r="E70" i="3"/>
  <c r="F70" i="3" s="1"/>
  <c r="E66" i="3"/>
  <c r="F66" i="3" s="1"/>
  <c r="E62" i="3"/>
  <c r="F62" i="3" s="1"/>
  <c r="F32" i="4"/>
  <c r="E22" i="3" s="1"/>
  <c r="F22" i="3" s="1"/>
  <c r="B66" i="4"/>
  <c r="F66" i="4" s="1"/>
  <c r="F67" i="4"/>
  <c r="F39" i="4"/>
  <c r="F38" i="4"/>
  <c r="B30" i="4"/>
  <c r="F30" i="4" s="1"/>
  <c r="F31" i="4"/>
  <c r="F167" i="4" l="1"/>
  <c r="F137" i="4"/>
  <c r="F145" i="4"/>
  <c r="F40" i="4"/>
  <c r="F41" i="4" s="1"/>
  <c r="E74" i="3"/>
  <c r="F74" i="3" s="1"/>
  <c r="G74" i="3" s="1"/>
  <c r="F33" i="4"/>
  <c r="C55" i="5"/>
  <c r="C56" i="5"/>
  <c r="C57" i="5"/>
  <c r="C58" i="5"/>
  <c r="C59" i="5"/>
  <c r="C60" i="5"/>
  <c r="C61" i="5"/>
  <c r="C62" i="5"/>
  <c r="C54" i="5"/>
  <c r="F77" i="3"/>
  <c r="F94" i="4"/>
  <c r="F103" i="4"/>
  <c r="F102" i="4"/>
  <c r="F101" i="4"/>
  <c r="F100" i="4"/>
  <c r="F99" i="4"/>
  <c r="F98" i="4"/>
  <c r="F97" i="4"/>
  <c r="F96" i="4"/>
  <c r="F95" i="4"/>
  <c r="C67" i="5" l="1"/>
  <c r="C51" i="3" s="1"/>
  <c r="F34" i="4"/>
  <c r="F106" i="4"/>
  <c r="F104" i="4"/>
  <c r="F105" i="4" s="1"/>
  <c r="F34" i="3" s="1"/>
  <c r="G34" i="3" s="1"/>
  <c r="B26" i="5" l="1"/>
  <c r="A53" i="3" l="1"/>
  <c r="A61" i="3" s="1"/>
  <c r="F58" i="3"/>
  <c r="F57" i="3"/>
  <c r="F56" i="3"/>
  <c r="F55" i="3"/>
  <c r="F54" i="3"/>
  <c r="A76" i="3" l="1"/>
  <c r="A62" i="3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F59" i="3"/>
  <c r="G59" i="3" s="1"/>
  <c r="A54" i="3"/>
  <c r="A55" i="3" s="1"/>
  <c r="A56" i="3" s="1"/>
  <c r="A57" i="3" s="1"/>
  <c r="A58" i="3" s="1"/>
  <c r="A59" i="3" s="1"/>
  <c r="A77" i="3" l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C33" i="5" l="1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32" i="5"/>
  <c r="A29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2" i="5"/>
  <c r="F68" i="4" l="1"/>
  <c r="F69" i="4" s="1"/>
  <c r="C17" i="5"/>
  <c r="C51" i="5"/>
  <c r="F127" i="4"/>
  <c r="F126" i="4"/>
  <c r="F125" i="4"/>
  <c r="F124" i="4"/>
  <c r="F129" i="4" l="1"/>
  <c r="F128" i="4"/>
  <c r="F118" i="4" l="1"/>
  <c r="F120" i="4" s="1"/>
  <c r="F117" i="4"/>
  <c r="F119" i="4" l="1"/>
  <c r="F74" i="4" l="1"/>
  <c r="F73" i="4"/>
  <c r="F60" i="4"/>
  <c r="F61" i="4" s="1"/>
  <c r="F62" i="4" l="1"/>
  <c r="F75" i="4"/>
  <c r="F76" i="4" l="1"/>
  <c r="E23" i="3"/>
  <c r="F19" i="4"/>
  <c r="F276" i="4"/>
  <c r="F275" i="4"/>
  <c r="F277" i="4" l="1"/>
  <c r="E93" i="3" s="1"/>
  <c r="F93" i="3" s="1"/>
  <c r="G93" i="3" s="1"/>
  <c r="F278" i="4" l="1"/>
  <c r="K26" i="1" l="1"/>
  <c r="K27" i="1"/>
  <c r="K29" i="1" l="1"/>
  <c r="K30" i="1"/>
  <c r="G21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8" i="1"/>
  <c r="K4" i="1"/>
  <c r="A51" i="3" l="1"/>
  <c r="F23" i="3"/>
  <c r="F20" i="3"/>
  <c r="F19" i="3"/>
  <c r="A19" i="3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G31" i="3" l="1"/>
  <c r="A37" i="3"/>
  <c r="K5" i="1" l="1"/>
  <c r="K6" i="1"/>
  <c r="K7" i="1"/>
  <c r="K8" i="1"/>
  <c r="K31" i="1" l="1"/>
  <c r="F41" i="3" s="1"/>
  <c r="G49" i="3" s="1"/>
  <c r="F51" i="3" l="1"/>
  <c r="G51" i="3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2" i="1" l="1"/>
  <c r="D5" i="1"/>
  <c r="D8" i="1"/>
  <c r="D9" i="1"/>
  <c r="D10" i="1"/>
  <c r="D4" i="1"/>
  <c r="D11" i="1" l="1"/>
  <c r="D12" i="1" s="1"/>
  <c r="G95" i="3" s="1"/>
  <c r="E103" i="3" l="1"/>
  <c r="E99" i="3"/>
  <c r="E98" i="3"/>
  <c r="E100" i="3"/>
  <c r="E101" i="3"/>
  <c r="E97" i="3"/>
  <c r="E96" i="3"/>
  <c r="E102" i="3" s="1"/>
  <c r="D13" i="1"/>
  <c r="G104" i="3" l="1"/>
  <c r="G106" i="3" s="1"/>
  <c r="D15" i="1"/>
  <c r="I62" i="4" l="1"/>
</calcChain>
</file>

<file path=xl/sharedStrings.xml><?xml version="1.0" encoding="utf-8"?>
<sst xmlns="http://schemas.openxmlformats.org/spreadsheetml/2006/main" count="680" uniqueCount="239">
  <si>
    <t>AREA VIDRIO</t>
  </si>
  <si>
    <t>templado</t>
  </si>
  <si>
    <t>bruto + laminado</t>
  </si>
  <si>
    <t>yubo 2x4</t>
  </si>
  <si>
    <t>Cantidad</t>
  </si>
  <si>
    <t>Unidad</t>
  </si>
  <si>
    <t>PARTIDAS GENERALES</t>
  </si>
  <si>
    <t>Desmonte de puertas existentes</t>
  </si>
  <si>
    <t>ud</t>
  </si>
  <si>
    <t>m2</t>
  </si>
  <si>
    <t>Muros existentes</t>
  </si>
  <si>
    <t>Bote de  Material fruto de  demolicion</t>
  </si>
  <si>
    <t xml:space="preserve">Sub-Total general </t>
  </si>
  <si>
    <t>Dirección Técnica</t>
  </si>
  <si>
    <t>Seguro y Fianza</t>
  </si>
  <si>
    <t>Transporte</t>
  </si>
  <si>
    <t>CODIA</t>
  </si>
  <si>
    <t>ITBIS</t>
  </si>
  <si>
    <t>Sub-Total Gastos Indirectos</t>
  </si>
  <si>
    <t xml:space="preserve">Total General </t>
  </si>
  <si>
    <t>UD</t>
  </si>
  <si>
    <t>Limpieza continua y Final</t>
  </si>
  <si>
    <t>PINTURA</t>
  </si>
  <si>
    <t>M2</t>
  </si>
  <si>
    <t>MISCELANEOS</t>
  </si>
  <si>
    <t>SHEETROCK</t>
  </si>
  <si>
    <t>Gastos Administrativos</t>
  </si>
  <si>
    <t>Ley 6-86</t>
  </si>
  <si>
    <t>Muro sheet rock Doble cara en muros piso techo</t>
  </si>
  <si>
    <t>P2</t>
  </si>
  <si>
    <t xml:space="preserve">DIVISIONES </t>
  </si>
  <si>
    <t>Desmonte de luminaria y tuberias existente</t>
  </si>
  <si>
    <t>DESCRIPCION</t>
  </si>
  <si>
    <t>Cant</t>
  </si>
  <si>
    <t>REND</t>
  </si>
  <si>
    <t>P.U.</t>
  </si>
  <si>
    <t>TOTAL</t>
  </si>
  <si>
    <t>Mano de Obra</t>
  </si>
  <si>
    <t>dia</t>
  </si>
  <si>
    <t>Uso de Herramientas y Miscelaneos</t>
  </si>
  <si>
    <t>Obrero no clasificado para demolicion 2 obrero x dia</t>
  </si>
  <si>
    <t>Limpieza continua y final de la obra</t>
  </si>
  <si>
    <t>Personal obrero</t>
  </si>
  <si>
    <t>Dia</t>
  </si>
  <si>
    <t xml:space="preserve">Uso Herramientas y equipos </t>
  </si>
  <si>
    <t>PA</t>
  </si>
  <si>
    <t>DESMONTE DE PUERTA EXISTENTE</t>
  </si>
  <si>
    <t>DEMOLICION DE MUROS DE PANDERETA EXISTENTE</t>
  </si>
  <si>
    <t>BOTE DE MATERIAL</t>
  </si>
  <si>
    <t>VIAJE</t>
  </si>
  <si>
    <t xml:space="preserve">Viaje </t>
  </si>
  <si>
    <t>DESMONTE DE LUMINARIA Y TUBERIAS EXISTENTES</t>
  </si>
  <si>
    <t xml:space="preserve">Suministro de materiales </t>
  </si>
  <si>
    <t>Suministro de puerta</t>
  </si>
  <si>
    <t>Suministro de Puerta incluye Cierre, Herraje, Cerradura y Pivot de Piso</t>
  </si>
  <si>
    <t>Ud</t>
  </si>
  <si>
    <t>gl</t>
  </si>
  <si>
    <t>masilla para correccion</t>
  </si>
  <si>
    <t>Piedra sobre paredes</t>
  </si>
  <si>
    <t xml:space="preserve">Aplicación </t>
  </si>
  <si>
    <t>Mt2</t>
  </si>
  <si>
    <t>ARCHIVO GENERAL DE LA NACION</t>
  </si>
  <si>
    <t>MUROS A DEMOLER</t>
  </si>
  <si>
    <t>PLAFON</t>
  </si>
  <si>
    <t>PISO 60X60</t>
  </si>
  <si>
    <t>ZOCALO</t>
  </si>
  <si>
    <t>m3</t>
  </si>
  <si>
    <t>ROJO</t>
  </si>
  <si>
    <t>INSTALACIONES ELECTRICAS</t>
  </si>
  <si>
    <t>Suministro e instalación de interruptor sencillo</t>
  </si>
  <si>
    <t>Suministro e instalación de interruptor doble</t>
  </si>
  <si>
    <t>Suministro e instalación de tomacorriente</t>
  </si>
  <si>
    <t>Mano de obra electrica y materiales para distribuccion, Incluye ranurado, materiales de conduccion de alambrado y resane de muro a intervenir</t>
  </si>
  <si>
    <t>p.a</t>
  </si>
  <si>
    <t>u</t>
  </si>
  <si>
    <t>lb</t>
  </si>
  <si>
    <t>m</t>
  </si>
  <si>
    <t>PLAFONES VINIL YESO</t>
  </si>
  <si>
    <t>Plafon Vinyl yeso 154 2 x 2 x 7mm</t>
  </si>
  <si>
    <t>Cross tee 2' Top Top</t>
  </si>
  <si>
    <t>Cross tee 4' Top Top</t>
  </si>
  <si>
    <t>Main tee 12' Top Top</t>
  </si>
  <si>
    <t>Angular 10' Top Top</t>
  </si>
  <si>
    <t>Funda de clavo de acero 2.5 x 20 mm 100/1</t>
  </si>
  <si>
    <t>FDA</t>
  </si>
  <si>
    <t>Fulminante Verde Bluepoint Cal22</t>
  </si>
  <si>
    <t>Clavo de plafon 1 1/4"" Bluepoint L</t>
  </si>
  <si>
    <t>Alambre Rollo 1Lib. Cal. 16</t>
  </si>
  <si>
    <t>LB</t>
  </si>
  <si>
    <t xml:space="preserve">Total </t>
  </si>
  <si>
    <t>Total / M2</t>
  </si>
  <si>
    <t>PINTURA MURO</t>
  </si>
  <si>
    <t>PLAFOND</t>
  </si>
  <si>
    <t>PINTURA SANITADA MATE CODIGO COLOR 7006</t>
  </si>
  <si>
    <t>Primer Sanitada Superior Mate Codigo Color 7006</t>
  </si>
  <si>
    <t xml:space="preserve">ANALISIS DE COSTO READECUACION DE OFICINA DE CENACOD, UBICADO EN SEDE CENTRAL
</t>
  </si>
  <si>
    <t>Notas Generales:</t>
  </si>
  <si>
    <t>El imprevisto solo podrá ser usado previa autorización por escrito.</t>
  </si>
  <si>
    <t>Las partidas contenidas en este presupuesto deben de contemplar, la presencia de un ingeniero o arquitecto residente, de igual manera la seguridad en obra (reglamento 522-06 seguridad y salud en obra )* Incluye Botas, Chalecos, arnés, cascos.</t>
  </si>
  <si>
    <t>La partidas de pinturas, debe de considerarse el rapillado de las superficies y el masillado del 30% de las zonas a pintar.</t>
  </si>
  <si>
    <t>DEMOLICION DE MESETA</t>
  </si>
  <si>
    <t>DESMANTELAMIENTO DE TECHO LISO SHEETROCK</t>
  </si>
  <si>
    <t>DESMONTE DE VIDRIO FIJO</t>
  </si>
  <si>
    <t xml:space="preserve">Resane de muro </t>
  </si>
  <si>
    <t>Ubicación:</t>
  </si>
  <si>
    <t>Archivo General de la Nación, Calle General Modesto Díaz, Zona Universitaria</t>
  </si>
  <si>
    <t>De Fecha:</t>
  </si>
  <si>
    <t>Unidad Ejecutora:</t>
  </si>
  <si>
    <t>Archivo General de la Nación</t>
  </si>
  <si>
    <t xml:space="preserve">Proyecto: </t>
  </si>
  <si>
    <t>Item No.</t>
  </si>
  <si>
    <t>Descripción</t>
  </si>
  <si>
    <t>P.U.RD$</t>
  </si>
  <si>
    <t>Valor RD$</t>
  </si>
  <si>
    <t>Sub-Total RD$</t>
  </si>
  <si>
    <t>Registro NEMA 1 24''x24''x6''</t>
  </si>
  <si>
    <t>Registro NEMA 1, 12''x12''x6''</t>
  </si>
  <si>
    <t>Registro NEMA 1, 8''x8''x6''</t>
  </si>
  <si>
    <t>Tubo IMC Ø 3''</t>
  </si>
  <si>
    <t>p</t>
  </si>
  <si>
    <t>Tubo IMC Ø 2 1/2''</t>
  </si>
  <si>
    <t>Tubo IMC Ø 2''</t>
  </si>
  <si>
    <t>Tubo IMC Ø 1 1/2''</t>
  </si>
  <si>
    <t>Cable UTP Cat 6A</t>
  </si>
  <si>
    <t>Gigabit Switch 24 puertos POE</t>
  </si>
  <si>
    <t>Rack de pared 12U</t>
  </si>
  <si>
    <t>Pacht Panel 24 puertos</t>
  </si>
  <si>
    <t>Pacht Cord Cat 6</t>
  </si>
  <si>
    <t>Face plate de una salida</t>
  </si>
  <si>
    <t xml:space="preserve">Mini Jack </t>
  </si>
  <si>
    <t>Materiales misceláneos de instalación (sistema de soporte de escalerillla, coupling, conectores curvos y rectos, barras, abrazaderas, tubería IMC, registros)</t>
  </si>
  <si>
    <t>Mano de obra instalación.</t>
  </si>
  <si>
    <t>Materiales misceláneos de instalación</t>
  </si>
  <si>
    <t>Registro NEMA 1- 18''x18''x6''</t>
  </si>
  <si>
    <t>Salida para interruptor sencillo (incluye accesorio decora).</t>
  </si>
  <si>
    <t>Miscelaneos de Instalacion</t>
  </si>
  <si>
    <t>Mano de Obra de Instalacion</t>
  </si>
  <si>
    <t>Salida para interruptor doble (incluye accesorio decora).</t>
  </si>
  <si>
    <t>Salida de Salida de toma de corriente doble, UPS. 120 v./60 hz. 15A a 0.40m. (incluye tomacorrientes).</t>
  </si>
  <si>
    <t>Salida de lámpara led de plafond, 2'x2' tipo panel. 38w/80-240v/60hz/6000k-7000k, blanco frío (incluye lámpara).</t>
  </si>
  <si>
    <t>Tubo emt 3/4 + 15% desp.</t>
  </si>
  <si>
    <t>Caja octagonal</t>
  </si>
  <si>
    <t>Alambre #12 TW</t>
  </si>
  <si>
    <t>Roseta de porcelana</t>
  </si>
  <si>
    <t>Cinta adhesiva "3M" (rollo)</t>
  </si>
  <si>
    <t>Cemento PVC + 30% desp. (¼ gl.)</t>
  </si>
  <si>
    <t>Lampara Led 2x2</t>
  </si>
  <si>
    <t>Mano de obra</t>
  </si>
  <si>
    <t>Gastos indirectos contratistas eléctricos</t>
  </si>
  <si>
    <t>Suministro e instalacion Salida de lámpara led de plafond, 2'x2' tipo panel. 38w/80-240v/60hz/6000k-7000k, blanco frío (incluye lámpara).</t>
  </si>
  <si>
    <t>Panel P-C, 3F, 18 espacios, con barras de 125 amp. en aluminio. Compuesto por: MBK 60A/3, 6 BK. 30A/2 .</t>
  </si>
  <si>
    <t>Imprevisto</t>
  </si>
  <si>
    <t xml:space="preserve">Acero </t>
  </si>
  <si>
    <t>qq</t>
  </si>
  <si>
    <t>M.O. acero</t>
  </si>
  <si>
    <t>Madera bruta amer. (4 usos)</t>
  </si>
  <si>
    <t>pt</t>
  </si>
  <si>
    <t>Clavos corrientes (5 lb. / 100 pie madera)</t>
  </si>
  <si>
    <t>Clavos de acero (¼ lb / metro)</t>
  </si>
  <si>
    <t>Alambre calibre #14 (¼ lb. / metro)</t>
  </si>
  <si>
    <t>Instalación y Desinstalacion de Encofrado metalico</t>
  </si>
  <si>
    <t>Desencofrado</t>
  </si>
  <si>
    <t>M3</t>
  </si>
  <si>
    <t>Horm 1:3:5</t>
  </si>
  <si>
    <t>Suministro de meseta en Hormigon armado 3/8 @ 0.10 e=0.10 mts</t>
  </si>
  <si>
    <t xml:space="preserve">READECUACION DE AREA DE COMEDOR, UBICADO EN SEDE CENTRAL
</t>
  </si>
  <si>
    <t>DATA</t>
  </si>
  <si>
    <t>PUERTAS</t>
  </si>
  <si>
    <t>Suministro de Tramo en MDF hidrofugo para soporte de Area de Microhondas</t>
  </si>
  <si>
    <t>Suministro e instalacion de Cocina en MDF hidrofugo color a definir, incluye gabinete de piso y pared y tope en granito</t>
  </si>
  <si>
    <t>Demolicion de Plafon en area a intervenir</t>
  </si>
  <si>
    <t xml:space="preserve">Suministro e instalacion de fregadero doble en acero inoxidable, con mezcladora alta calidad incluye tuberia de agua potable y Sanitaria </t>
  </si>
  <si>
    <t>Carpintero</t>
  </si>
  <si>
    <t>Capataz</t>
  </si>
  <si>
    <t>día</t>
  </si>
  <si>
    <t>Obrero no clasificado para demolicion 2 obrero x dia RD$ 9757.60/d: 2* 957.6= 1915.2/d</t>
  </si>
  <si>
    <t>días</t>
  </si>
  <si>
    <t xml:space="preserve">Apertura de hueco en muro de hormigón para puertas </t>
  </si>
  <si>
    <t>Traslado de materiales producto de demoliciones llevados al lateral este del edificio</t>
  </si>
  <si>
    <t>Suministro y colocación de plafónd PVC 2'x2', color blanco.</t>
  </si>
  <si>
    <t>pl</t>
  </si>
  <si>
    <t>pa</t>
  </si>
  <si>
    <t>ml</t>
  </si>
  <si>
    <t>Los precios alzados (PA) serán pagados mediante desglose de partidas en los análisis de costos</t>
  </si>
  <si>
    <t>Presupuesto  preparado por Análisis de Costos de Dirección de Ingeniería con los precios vigentes de los materiales y con la mano  de obra  actualizada por el Ministerio de Trabajo.</t>
  </si>
  <si>
    <t>Los volúmenes de los diferentes Ítems serán establecidos en cada cubicación</t>
  </si>
  <si>
    <t>TRASLADO DE ESCOMBROS HASTA DUCTO EN VENTANA</t>
  </si>
  <si>
    <t>Equipos</t>
  </si>
  <si>
    <t>Distancia desde cocina hasta área de acopio</t>
  </si>
  <si>
    <t>Personal: Capataz 2 TNC carretillas 1 TNC llenador:</t>
  </si>
  <si>
    <t>Tiempo de recorrido ida y vuelta</t>
  </si>
  <si>
    <t>minutos</t>
  </si>
  <si>
    <t>Volumen de las 2 carretillas</t>
  </si>
  <si>
    <t>p3</t>
  </si>
  <si>
    <t>3 TNC</t>
  </si>
  <si>
    <t>Volumen trasladado en una hora: =60*0.17/8</t>
  </si>
  <si>
    <t>Volumen en 8 hras: 8*0.75*1.28</t>
  </si>
  <si>
    <t>Demolicion de muros sheetrock</t>
  </si>
  <si>
    <t>Muro de bloque de 6''</t>
  </si>
  <si>
    <t>Zapata</t>
  </si>
  <si>
    <t>Excavación: 3.26 ml</t>
  </si>
  <si>
    <r>
      <t xml:space="preserve">Dintel de 0.20*0.20, 2 </t>
    </r>
    <r>
      <rPr>
        <sz val="12"/>
        <rFont val="Calibri"/>
        <family val="2"/>
      </rPr>
      <t>Ø</t>
    </r>
    <r>
      <rPr>
        <sz val="10.199999999999999"/>
        <rFont val="Century Gothic"/>
        <family val="2"/>
      </rPr>
      <t xml:space="preserve"> 1/2'' Abajo 2 </t>
    </r>
    <r>
      <rPr>
        <sz val="10.199999999999999"/>
        <rFont val="Calibri"/>
        <family val="2"/>
      </rPr>
      <t>Ø</t>
    </r>
    <r>
      <rPr>
        <sz val="8.65"/>
        <rFont val="Century Gothic"/>
        <family val="2"/>
      </rPr>
      <t xml:space="preserve"> </t>
    </r>
    <r>
      <rPr>
        <sz val="10.199999999999999"/>
        <rFont val="Century Gothic"/>
        <family val="2"/>
      </rPr>
      <t xml:space="preserve">3/8'' Arriba y </t>
    </r>
    <r>
      <rPr>
        <sz val="12"/>
        <rFont val="Century Gothic"/>
        <family val="2"/>
      </rPr>
      <t xml:space="preserve">Etribos </t>
    </r>
    <r>
      <rPr>
        <sz val="12"/>
        <rFont val="Calibri"/>
        <family val="2"/>
      </rPr>
      <t>Ø</t>
    </r>
    <r>
      <rPr>
        <sz val="10.199999999999999"/>
        <rFont val="Century Gothic"/>
        <family val="2"/>
      </rPr>
      <t xml:space="preserve"> 3/8''@ 0.20m</t>
    </r>
  </si>
  <si>
    <t>Pañete: 2*10.69+3*0.6*1.7</t>
  </si>
  <si>
    <t>Cantos: 3*2*1+2.6</t>
  </si>
  <si>
    <t>Viga de amarre (3.26 ml): 0.20*0.20, 2 Ø 1/2'' Abajo 2 Ø 3/8'' Arriba y Etribos Ø 3/8''@ 0.20m</t>
  </si>
  <si>
    <t>Pintura de Muros Sanitada Mate Código Color 7006</t>
  </si>
  <si>
    <t>Pintura de Muros Sanitada Mate Código Color 7006 en muro y dintel</t>
  </si>
  <si>
    <t>Reinstalación de marco de madera y el cristal con ajuste al nuevo tamaño y ampliación de hueco inferior del cristal</t>
  </si>
  <si>
    <t>Desmonte de marco de madera de caoba con cristal del área de cobro de facturas</t>
  </si>
  <si>
    <t>Suministro e instalación de Puerta en Caoba según medidas y diseño aprobado por la supervision, cerradura de buena calidad</t>
  </si>
  <si>
    <t>Pintura con laca en el marco de madera</t>
  </si>
  <si>
    <t>Demolición piso y extraccion relleno</t>
  </si>
  <si>
    <t>p2</t>
  </si>
  <si>
    <t>Topes de marmolite con sus correspondientes soportes, color elegido por la supervisión</t>
  </si>
  <si>
    <t>Revestimiento de marmolite en pared de la cocina</t>
  </si>
  <si>
    <t>Colocación Tope de Melamina (este va ha ser suministrado por el AGN</t>
  </si>
  <si>
    <t>Gabinete de piso de caoba</t>
  </si>
  <si>
    <t>Gabinete de pared de caoba</t>
  </si>
  <si>
    <t>TRAMERIA DE DESPENSA</t>
  </si>
  <si>
    <t>ALTURA DE PISO A TECHO</t>
  </si>
  <si>
    <t>ML</t>
  </si>
  <si>
    <t>DISTANCIA ENTRE CADA DOS</t>
  </si>
  <si>
    <t>CANTIDAD DE TRAMOS: 2.10/0.3</t>
  </si>
  <si>
    <t>LONGITUD DE CADA TRAMO</t>
  </si>
  <si>
    <t>PL</t>
  </si>
  <si>
    <t xml:space="preserve">Lámparas 2'x4' en derspensa incluye </t>
  </si>
  <si>
    <t xml:space="preserve">Mover interruptor </t>
  </si>
  <si>
    <t>Tramería de despensa en madera hidrofuga</t>
  </si>
  <si>
    <t>Silla tipo ZOZO</t>
  </si>
  <si>
    <t>us</t>
  </si>
  <si>
    <t xml:space="preserve">Mesas unipersonal con tope blanco y patas metálicas de 0.80 x 0.60mm </t>
  </si>
  <si>
    <t xml:space="preserve">Panel Metálico y Cristal para división de 1.00m de profundidad y 1.60m de alto  </t>
  </si>
  <si>
    <t>Mesas en comedor de 0.70mx0.70m con tope blanco y patas de metal</t>
  </si>
  <si>
    <t xml:space="preserve">Reposición de piso de porcelanato de 0.30m x 0.30m que pueda dañarse en el proceso, </t>
  </si>
  <si>
    <t>Piso a restituir en área demolida de porcelanato de o.30m x o.30m</t>
  </si>
  <si>
    <t>07/11/2024</t>
  </si>
  <si>
    <t>Desmonte de tope de granito</t>
  </si>
  <si>
    <t>Desmonte de fregadero</t>
  </si>
  <si>
    <t>viajes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</si>
</sst>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[Red]\(&quot;RD$&quot;#,##0.00\)"/>
    <numFmt numFmtId="165" formatCode="_(&quot;RD$&quot;* #,##0.00_);_(&quot;RD$&quot;* \(#,##0.00\);_(&quot;RD$&quot;* &quot;-&quot;??_);_(@_)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&quot;$&quot;#,##0.00"/>
    <numFmt numFmtId="170" formatCode="0.0%"/>
    <numFmt numFmtId="171" formatCode="_-[$€]* #,##0.00_-;\-[$€]* #,##0.00_-;_-[$€]* &quot;-&quot;??_-;_-@_-"/>
    <numFmt numFmtId="172" formatCode="_-* #,##0.00\ &quot;€&quot;_-;\-* #,##0.00\ &quot;€&quot;_-;_-* &quot;-&quot;??\ &quot;€&quot;_-;_-@_-"/>
    <numFmt numFmtId="173" formatCode="_([$€-2]* #,##0.00_);_([$€-2]* \(#,##0.00\);_([$€-2]* &quot;-&quot;??_)"/>
    <numFmt numFmtId="174" formatCode="#,##0.000"/>
    <numFmt numFmtId="175" formatCode="#,##0.00\ &quot;M³S&quot;"/>
    <numFmt numFmtId="176" formatCode="@\ &quot;:&quot;\ \ "/>
    <numFmt numFmtId="177" formatCode="#,##0.00\ &quot;KM&quot;"/>
    <numFmt numFmtId="178" formatCode="0.00_)"/>
    <numFmt numFmtId="179" formatCode="#,##0.000_);\(#,##0.000\)"/>
    <numFmt numFmtId="180" formatCode="_-* #,##0.00\ _P_t_s_-;\-* #,##0.00\ _P_t_s_-;_-* &quot;-&quot;??\ _P_t_s_-;_-@_-"/>
    <numFmt numFmtId="181" formatCode="_-* #,##0\ _P_t_s_-;\-* #,##0\ _P_t_s_-;_-* &quot;-&quot;??\ _P_t_s_-;_-@_-"/>
    <numFmt numFmtId="182" formatCode="_(* #,##0_);_(* \(#,##0\);_(* &quot;-&quot;??_);_(@_)"/>
    <numFmt numFmtId="183" formatCode="[$$-1C0A]#,##0.00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entury Gothic"/>
      <family val="2"/>
    </font>
    <font>
      <b/>
      <sz val="16"/>
      <color rgb="FFFF0000"/>
      <name val="Book Antiqua"/>
      <family val="1"/>
    </font>
    <font>
      <b/>
      <sz val="16"/>
      <color theme="1"/>
      <name val="Calibri"/>
      <family val="2"/>
      <scheme val="minor"/>
    </font>
    <font>
      <b/>
      <sz val="11"/>
      <name val="Century Gothic"/>
      <family val="2"/>
    </font>
    <font>
      <b/>
      <sz val="11"/>
      <color rgb="FF0070C0"/>
      <name val="Century Gothic"/>
      <family val="2"/>
    </font>
    <font>
      <sz val="9"/>
      <color rgb="FFFF0000"/>
      <name val="Century Gothic"/>
      <family val="2"/>
    </font>
    <font>
      <sz val="9"/>
      <color rgb="FFFF0000"/>
      <name val="Calibri"/>
      <family val="2"/>
      <scheme val="minor"/>
    </font>
    <font>
      <sz val="11"/>
      <color rgb="FFFF000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i/>
      <sz val="16"/>
      <color theme="1"/>
      <name val="Times New Roman"/>
      <family val="1"/>
    </font>
    <font>
      <sz val="14"/>
      <color theme="1"/>
      <name val="Comic Sans MS"/>
      <family val="4"/>
    </font>
    <font>
      <sz val="12"/>
      <color theme="1"/>
      <name val="Century"/>
      <family val="1"/>
    </font>
    <font>
      <b/>
      <sz val="12"/>
      <color theme="1"/>
      <name val="Century"/>
      <family val="1"/>
    </font>
    <font>
      <sz val="11"/>
      <color theme="1"/>
      <name val="Century"/>
      <family val="1"/>
    </font>
    <font>
      <sz val="14"/>
      <color theme="1"/>
      <name val="Century"/>
      <family val="1"/>
    </font>
    <font>
      <b/>
      <i/>
      <sz val="16"/>
      <color theme="1"/>
      <name val="Century"/>
      <family val="1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sz val="12"/>
      <name val="Century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ndalus"/>
      <family val="1"/>
    </font>
    <font>
      <sz val="12"/>
      <name val="Andalus"/>
      <family val="1"/>
    </font>
    <font>
      <b/>
      <sz val="10"/>
      <name val="Andalus"/>
      <family val="1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8"/>
      <color indexed="8"/>
      <name val="Helv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indexed="36"/>
      <name val="MS Sans Serif"/>
      <family val="2"/>
    </font>
    <font>
      <sz val="10"/>
      <name val="Helv"/>
    </font>
    <font>
      <sz val="11"/>
      <color indexed="19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8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8"/>
      <name val="Cambria"/>
      <family val="1"/>
    </font>
    <font>
      <b/>
      <sz val="18"/>
      <color indexed="62"/>
      <name val="Cambri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sz val="12"/>
      <color theme="1"/>
      <name val="Calibri"/>
      <family val="2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2"/>
      <color rgb="FFFF0000"/>
      <name val="Palatino Linotype"/>
      <family val="1"/>
    </font>
    <font>
      <sz val="12"/>
      <name val="Calibri"/>
      <family val="2"/>
    </font>
    <font>
      <sz val="10.199999999999999"/>
      <name val="Century Gothic"/>
      <family val="2"/>
    </font>
    <font>
      <sz val="10.199999999999999"/>
      <name val="Calibri"/>
      <family val="2"/>
    </font>
    <font>
      <sz val="8.65"/>
      <name val="Century Gothic"/>
      <family val="2"/>
    </font>
    <font>
      <b/>
      <sz val="14"/>
      <color theme="1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59999389629810485"/>
        <bgColor indexed="65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27" fillId="0" borderId="0"/>
    <xf numFmtId="0" fontId="1" fillId="0" borderId="0"/>
    <xf numFmtId="0" fontId="23" fillId="0" borderId="0"/>
    <xf numFmtId="0" fontId="3" fillId="0" borderId="0"/>
    <xf numFmtId="0" fontId="28" fillId="0" borderId="0"/>
    <xf numFmtId="0" fontId="29" fillId="0" borderId="0"/>
    <xf numFmtId="171" fontId="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9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3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16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9" fillId="20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1" fillId="21" borderId="25" applyNumberFormat="0" applyAlignment="0" applyProtection="0"/>
    <xf numFmtId="0" fontId="41" fillId="21" borderId="25" applyNumberFormat="0" applyAlignment="0" applyProtection="0"/>
    <xf numFmtId="0" fontId="41" fillId="21" borderId="25" applyNumberFormat="0" applyAlignment="0" applyProtection="0"/>
    <xf numFmtId="0" fontId="41" fillId="21" borderId="25" applyNumberFormat="0" applyAlignment="0" applyProtection="0"/>
    <xf numFmtId="0" fontId="42" fillId="22" borderId="26" applyNumberFormat="0" applyAlignment="0" applyProtection="0"/>
    <xf numFmtId="0" fontId="42" fillId="22" borderId="26" applyNumberFormat="0" applyAlignment="0" applyProtection="0"/>
    <xf numFmtId="0" fontId="42" fillId="22" borderId="26" applyNumberFormat="0" applyAlignment="0" applyProtection="0"/>
    <xf numFmtId="0" fontId="43" fillId="0" borderId="27" applyNumberFormat="0" applyFill="0" applyAlignment="0" applyProtection="0"/>
    <xf numFmtId="0" fontId="43" fillId="0" borderId="27" applyNumberFormat="0" applyFill="0" applyAlignment="0" applyProtection="0"/>
    <xf numFmtId="0" fontId="43" fillId="0" borderId="27" applyNumberFormat="0" applyFill="0" applyAlignment="0" applyProtection="0"/>
    <xf numFmtId="0" fontId="42" fillId="22" borderId="26" applyNumberFormat="0" applyAlignment="0" applyProtection="0"/>
    <xf numFmtId="0" fontId="3" fillId="0" borderId="0" applyFont="0" applyFill="0" applyBorder="0" applyAlignment="0" applyProtection="0"/>
    <xf numFmtId="4" fontId="44" fillId="23" borderId="0" applyNumberFormat="0" applyBorder="0" applyAlignment="0" applyProtection="0">
      <alignment horizontal="center"/>
    </xf>
    <xf numFmtId="4" fontId="44" fillId="24" borderId="0" applyNumberFormat="0" applyBorder="0" applyAlignment="0" applyProtection="0">
      <alignment horizontal="center"/>
    </xf>
    <xf numFmtId="4" fontId="44" fillId="24" borderId="0" applyNumberFormat="0" applyBorder="0" applyAlignment="0" applyProtection="0">
      <alignment horizont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46" fillId="12" borderId="25" applyNumberFormat="0" applyAlignment="0" applyProtection="0"/>
    <xf numFmtId="0" fontId="46" fillId="12" borderId="25" applyNumberFormat="0" applyAlignment="0" applyProtection="0"/>
    <xf numFmtId="0" fontId="46" fillId="12" borderId="25" applyNumberFormat="0" applyAlignment="0" applyProtection="0"/>
    <xf numFmtId="172" fontId="3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8" fillId="0" borderId="28" applyNumberFormat="0" applyFill="0" applyAlignment="0" applyProtection="0"/>
    <xf numFmtId="0" fontId="49" fillId="0" borderId="29" applyNumberFormat="0" applyFill="0" applyAlignment="0" applyProtection="0"/>
    <xf numFmtId="0" fontId="45" fillId="0" borderId="30" applyNumberFormat="0" applyFill="0" applyAlignment="0" applyProtection="0"/>
    <xf numFmtId="0" fontId="45" fillId="0" borderId="0" applyNumberFormat="0" applyFill="0" applyBorder="0" applyAlignment="0" applyProtection="0"/>
    <xf numFmtId="0" fontId="50" fillId="0" borderId="0" applyFill="0" applyBorder="0" applyAlignment="0" applyProtection="0">
      <alignment vertical="top"/>
      <protection locked="0"/>
    </xf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46" fillId="12" borderId="25" applyNumberFormat="0" applyAlignment="0" applyProtection="0"/>
    <xf numFmtId="0" fontId="43" fillId="0" borderId="27" applyNumberFormat="0" applyFill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0" fontId="2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3" fillId="0" borderId="0" applyFont="0" applyFill="0" applyBorder="0" applyAlignment="0" applyProtection="0"/>
    <xf numFmtId="40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43" fontId="30" fillId="0" borderId="0" applyFont="0" applyFill="0" applyBorder="0" applyAlignment="0" applyProtection="0"/>
    <xf numFmtId="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29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7" fontId="29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3" fillId="0" borderId="0"/>
    <xf numFmtId="178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" fontId="55" fillId="0" borderId="0" applyFill="0">
      <alignment horizontal="center"/>
    </xf>
    <xf numFmtId="4" fontId="55" fillId="0" borderId="0" applyFill="0">
      <alignment horizontal="center"/>
    </xf>
    <xf numFmtId="0" fontId="1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179" fontId="24" fillId="0" borderId="0"/>
    <xf numFmtId="0" fontId="3" fillId="0" borderId="0"/>
    <xf numFmtId="0" fontId="3" fillId="0" borderId="0"/>
    <xf numFmtId="0" fontId="3" fillId="0" borderId="0"/>
    <xf numFmtId="0" fontId="1" fillId="0" borderId="0"/>
    <xf numFmtId="179" fontId="24" fillId="0" borderId="0"/>
    <xf numFmtId="0" fontId="1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9" borderId="31" applyNumberFormat="0" applyFont="0" applyAlignment="0" applyProtection="0"/>
    <xf numFmtId="0" fontId="29" fillId="9" borderId="31" applyNumberFormat="0" applyFont="0" applyAlignment="0" applyProtection="0"/>
    <xf numFmtId="0" fontId="29" fillId="9" borderId="31" applyNumberFormat="0" applyFont="0" applyAlignment="0" applyProtection="0"/>
    <xf numFmtId="0" fontId="29" fillId="9" borderId="31" applyNumberFormat="0" applyFont="0" applyAlignment="0" applyProtection="0"/>
    <xf numFmtId="0" fontId="57" fillId="21" borderId="32" applyNumberFormat="0" applyAlignment="0" applyProtection="0"/>
    <xf numFmtId="9" fontId="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57" fillId="21" borderId="32" applyNumberFormat="0" applyAlignment="0" applyProtection="0"/>
    <xf numFmtId="0" fontId="57" fillId="21" borderId="32" applyNumberFormat="0" applyAlignment="0" applyProtection="0"/>
    <xf numFmtId="0" fontId="57" fillId="21" borderId="32" applyNumberFormat="0" applyAlignment="0" applyProtection="0"/>
    <xf numFmtId="4" fontId="58" fillId="0" borderId="0" applyNumberFormat="0" applyFill="0" applyBorder="0" applyAlignment="0" applyProtection="0">
      <alignment horizont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5" fillId="0" borderId="30" applyNumberFormat="0" applyFill="0" applyAlignment="0" applyProtection="0"/>
    <xf numFmtId="0" fontId="45" fillId="0" borderId="30" applyNumberFormat="0" applyFill="0" applyAlignment="0" applyProtection="0"/>
    <xf numFmtId="0" fontId="45" fillId="0" borderId="30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43" fillId="0" borderId="0" applyNumberFormat="0" applyFill="0" applyBorder="0" applyAlignment="0" applyProtection="0"/>
    <xf numFmtId="0" fontId="3" fillId="0" borderId="0"/>
    <xf numFmtId="43" fontId="30" fillId="0" borderId="0" applyFont="0" applyFill="0" applyBorder="0" applyAlignment="0" applyProtection="0"/>
    <xf numFmtId="44" fontId="6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1" fillId="21" borderId="34" applyNumberFormat="0" applyAlignment="0" applyProtection="0"/>
    <xf numFmtId="0" fontId="41" fillId="21" borderId="34" applyNumberFormat="0" applyAlignment="0" applyProtection="0"/>
    <xf numFmtId="0" fontId="41" fillId="21" borderId="34" applyNumberFormat="0" applyAlignment="0" applyProtection="0"/>
    <xf numFmtId="0" fontId="41" fillId="21" borderId="34" applyNumberFormat="0" applyAlignment="0" applyProtection="0"/>
    <xf numFmtId="0" fontId="46" fillId="12" borderId="34" applyNumberFormat="0" applyAlignment="0" applyProtection="0"/>
    <xf numFmtId="0" fontId="46" fillId="12" borderId="34" applyNumberFormat="0" applyAlignment="0" applyProtection="0"/>
    <xf numFmtId="0" fontId="46" fillId="12" borderId="34" applyNumberFormat="0" applyAlignment="0" applyProtection="0"/>
    <xf numFmtId="0" fontId="46" fillId="12" borderId="34" applyNumberFormat="0" applyAlignment="0" applyProtection="0"/>
    <xf numFmtId="0" fontId="29" fillId="9" borderId="35" applyNumberFormat="0" applyFont="0" applyAlignment="0" applyProtection="0"/>
    <xf numFmtId="0" fontId="29" fillId="9" borderId="35" applyNumberFormat="0" applyFont="0" applyAlignment="0" applyProtection="0"/>
    <xf numFmtId="0" fontId="29" fillId="9" borderId="35" applyNumberFormat="0" applyFont="0" applyAlignment="0" applyProtection="0"/>
    <xf numFmtId="0" fontId="29" fillId="9" borderId="35" applyNumberFormat="0" applyFont="0" applyAlignment="0" applyProtection="0"/>
    <xf numFmtId="0" fontId="57" fillId="21" borderId="36" applyNumberFormat="0" applyAlignment="0" applyProtection="0"/>
    <xf numFmtId="0" fontId="57" fillId="21" borderId="36" applyNumberFormat="0" applyAlignment="0" applyProtection="0"/>
    <xf numFmtId="0" fontId="57" fillId="21" borderId="36" applyNumberFormat="0" applyAlignment="0" applyProtection="0"/>
    <xf numFmtId="0" fontId="57" fillId="21" borderId="36" applyNumberFormat="0" applyAlignment="0" applyProtection="0"/>
    <xf numFmtId="0" fontId="32" fillId="0" borderId="37" applyNumberFormat="0" applyFill="0" applyAlignment="0" applyProtection="0"/>
    <xf numFmtId="0" fontId="32" fillId="0" borderId="37" applyNumberFormat="0" applyFill="0" applyAlignment="0" applyProtection="0"/>
    <xf numFmtId="0" fontId="32" fillId="0" borderId="37" applyNumberFormat="0" applyFill="0" applyAlignment="0" applyProtection="0"/>
    <xf numFmtId="0" fontId="1" fillId="0" borderId="0"/>
    <xf numFmtId="0" fontId="65" fillId="0" borderId="0"/>
    <xf numFmtId="167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5" fillId="25" borderId="0" applyNumberFormat="0" applyBorder="0" applyAlignment="0" applyProtection="0"/>
    <xf numFmtId="0" fontId="65" fillId="26" borderId="0" applyNumberFormat="0" applyBorder="0" applyAlignment="0" applyProtection="0"/>
    <xf numFmtId="43" fontId="1" fillId="0" borderId="0" applyFont="0" applyFill="0" applyBorder="0" applyAlignment="0" applyProtection="0"/>
  </cellStyleXfs>
  <cellXfs count="277">
    <xf numFmtId="0" fontId="0" fillId="0" borderId="0" xfId="0"/>
    <xf numFmtId="169" fontId="0" fillId="0" borderId="0" xfId="0" applyNumberFormat="1"/>
    <xf numFmtId="2" fontId="0" fillId="0" borderId="0" xfId="0" applyNumberFormat="1"/>
    <xf numFmtId="0" fontId="4" fillId="2" borderId="0" xfId="2" applyFont="1" applyFill="1" applyAlignment="1">
      <alignment vertical="center"/>
    </xf>
    <xf numFmtId="0" fontId="4" fillId="2" borderId="1" xfId="2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4" fillId="2" borderId="3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4" fillId="2" borderId="5" xfId="2" applyFont="1" applyFill="1" applyBorder="1" applyAlignment="1">
      <alignment vertical="center"/>
    </xf>
    <xf numFmtId="0" fontId="0" fillId="2" borderId="0" xfId="0" applyFill="1"/>
    <xf numFmtId="0" fontId="0" fillId="2" borderId="4" xfId="0" applyFill="1" applyBorder="1"/>
    <xf numFmtId="0" fontId="4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vertical="center"/>
    </xf>
    <xf numFmtId="0" fontId="10" fillId="0" borderId="0" xfId="0" applyFont="1"/>
    <xf numFmtId="0" fontId="11" fillId="2" borderId="0" xfId="2" applyFont="1" applyFill="1" applyAlignment="1">
      <alignment vertical="center"/>
    </xf>
    <xf numFmtId="0" fontId="2" fillId="0" borderId="0" xfId="0" applyFont="1"/>
    <xf numFmtId="0" fontId="9" fillId="0" borderId="0" xfId="2" applyFont="1" applyAlignment="1">
      <alignment vertical="center"/>
    </xf>
    <xf numFmtId="0" fontId="4" fillId="2" borderId="0" xfId="2" applyFont="1" applyFill="1" applyAlignment="1">
      <alignment horizontal="justify" vertical="justify"/>
    </xf>
    <xf numFmtId="4" fontId="4" fillId="2" borderId="0" xfId="2" applyNumberFormat="1" applyFont="1" applyFill="1" applyAlignment="1">
      <alignment horizontal="center" vertical="center"/>
    </xf>
    <xf numFmtId="4" fontId="4" fillId="2" borderId="0" xfId="2" applyNumberFormat="1" applyFont="1" applyFill="1" applyAlignment="1">
      <alignment horizontal="center" vertical="justify"/>
    </xf>
    <xf numFmtId="4" fontId="4" fillId="2" borderId="0" xfId="2" applyNumberFormat="1" applyFont="1" applyFill="1" applyAlignment="1">
      <alignment horizontal="right" vertical="center"/>
    </xf>
    <xf numFmtId="0" fontId="4" fillId="2" borderId="4" xfId="2" applyFont="1" applyFill="1" applyBorder="1" applyAlignment="1">
      <alignment horizontal="center" vertical="center"/>
    </xf>
    <xf numFmtId="0" fontId="18" fillId="3" borderId="13" xfId="6" applyFont="1" applyFill="1" applyBorder="1" applyAlignment="1">
      <alignment horizontal="center" vertical="center"/>
    </xf>
    <xf numFmtId="0" fontId="19" fillId="3" borderId="14" xfId="6" applyFont="1" applyFill="1" applyBorder="1" applyAlignment="1">
      <alignment horizontal="center" vertical="center"/>
    </xf>
    <xf numFmtId="0" fontId="18" fillId="3" borderId="14" xfId="6" applyFont="1" applyFill="1" applyBorder="1" applyAlignment="1">
      <alignment horizontal="center" vertical="center" wrapText="1"/>
    </xf>
    <xf numFmtId="43" fontId="18" fillId="3" borderId="14" xfId="6" applyNumberFormat="1" applyFont="1" applyFill="1" applyBorder="1" applyAlignment="1">
      <alignment horizontal="center" vertical="center"/>
    </xf>
    <xf numFmtId="170" fontId="18" fillId="0" borderId="10" xfId="5" applyNumberFormat="1" applyFont="1" applyFill="1" applyBorder="1" applyAlignment="1">
      <alignment horizontal="center" vertical="center"/>
    </xf>
    <xf numFmtId="0" fontId="19" fillId="0" borderId="16" xfId="6" applyFont="1" applyBorder="1" applyAlignment="1">
      <alignment horizontal="center" vertical="center"/>
    </xf>
    <xf numFmtId="0" fontId="19" fillId="5" borderId="17" xfId="6" applyFont="1" applyFill="1" applyBorder="1" applyAlignment="1">
      <alignment horizontal="center" vertical="center"/>
    </xf>
    <xf numFmtId="0" fontId="19" fillId="5" borderId="18" xfId="6" applyFont="1" applyFill="1" applyBorder="1" applyAlignment="1">
      <alignment horizontal="center" vertical="center"/>
    </xf>
    <xf numFmtId="43" fontId="19" fillId="5" borderId="18" xfId="6" applyNumberFormat="1" applyFont="1" applyFill="1" applyBorder="1" applyAlignment="1">
      <alignment horizontal="center" vertical="center"/>
    </xf>
    <xf numFmtId="43" fontId="19" fillId="5" borderId="12" xfId="6" applyNumberFormat="1" applyFont="1" applyFill="1" applyBorder="1" applyAlignment="1">
      <alignment horizontal="center" vertical="center"/>
    </xf>
    <xf numFmtId="0" fontId="19" fillId="0" borderId="17" xfId="6" applyFont="1" applyBorder="1" applyAlignment="1">
      <alignment horizontal="center" vertical="center"/>
    </xf>
    <xf numFmtId="0" fontId="19" fillId="3" borderId="18" xfId="6" applyFont="1" applyFill="1" applyBorder="1" applyAlignment="1">
      <alignment horizontal="center" vertical="center"/>
    </xf>
    <xf numFmtId="10" fontId="18" fillId="3" borderId="18" xfId="6" applyNumberFormat="1" applyFont="1" applyFill="1" applyBorder="1" applyAlignment="1">
      <alignment horizontal="center" vertical="center"/>
    </xf>
    <xf numFmtId="43" fontId="19" fillId="3" borderId="20" xfId="6" applyNumberFormat="1" applyFont="1" applyFill="1" applyBorder="1" applyAlignment="1">
      <alignment horizontal="center" vertical="center"/>
    </xf>
    <xf numFmtId="0" fontId="23" fillId="2" borderId="6" xfId="0" applyFont="1" applyFill="1" applyBorder="1"/>
    <xf numFmtId="0" fontId="12" fillId="2" borderId="7" xfId="2" applyFont="1" applyFill="1" applyBorder="1" applyAlignment="1">
      <alignment horizontal="justify" vertical="justify"/>
    </xf>
    <xf numFmtId="0" fontId="12" fillId="2" borderId="8" xfId="2" applyFont="1" applyFill="1" applyBorder="1" applyAlignment="1">
      <alignment horizontal="right" vertical="center"/>
    </xf>
    <xf numFmtId="0" fontId="12" fillId="4" borderId="11" xfId="2" applyFont="1" applyFill="1" applyBorder="1" applyAlignment="1">
      <alignment horizontal="justify" vertical="justify"/>
    </xf>
    <xf numFmtId="4" fontId="12" fillId="4" borderId="11" xfId="2" applyNumberFormat="1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4" fontId="13" fillId="0" borderId="11" xfId="4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4" fontId="13" fillId="0" borderId="11" xfId="4" applyNumberFormat="1" applyFont="1" applyBorder="1" applyAlignment="1">
      <alignment horizontal="right" vertical="center"/>
    </xf>
    <xf numFmtId="0" fontId="13" fillId="0" borderId="11" xfId="4" applyFont="1" applyBorder="1" applyAlignment="1">
      <alignment horizontal="justify" vertical="justify"/>
    </xf>
    <xf numFmtId="2" fontId="13" fillId="0" borderId="11" xfId="4" applyNumberFormat="1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0" fontId="25" fillId="0" borderId="11" xfId="8" applyFont="1" applyBorder="1" applyAlignment="1" applyProtection="1">
      <alignment vertical="center" wrapText="1"/>
      <protection hidden="1"/>
    </xf>
    <xf numFmtId="43" fontId="25" fillId="0" borderId="11" xfId="10" applyFont="1" applyFill="1" applyBorder="1" applyAlignment="1" applyProtection="1">
      <alignment horizontal="center"/>
      <protection hidden="1"/>
    </xf>
    <xf numFmtId="0" fontId="12" fillId="4" borderId="11" xfId="2" applyFont="1" applyFill="1" applyBorder="1" applyAlignment="1">
      <alignment horizontal="justify" vertical="center"/>
    </xf>
    <xf numFmtId="0" fontId="13" fillId="0" borderId="11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center"/>
    </xf>
    <xf numFmtId="4" fontId="26" fillId="0" borderId="5" xfId="4" applyNumberFormat="1" applyFont="1" applyBorder="1" applyAlignment="1">
      <alignment horizontal="right" vertical="center"/>
    </xf>
    <xf numFmtId="2" fontId="26" fillId="0" borderId="22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4" fontId="26" fillId="0" borderId="19" xfId="0" applyNumberFormat="1" applyFont="1" applyBorder="1" applyAlignment="1">
      <alignment horizontal="center" vertical="center"/>
    </xf>
    <xf numFmtId="4" fontId="26" fillId="0" borderId="19" xfId="4" applyNumberFormat="1" applyFont="1" applyBorder="1" applyAlignment="1">
      <alignment horizontal="center" vertical="center"/>
    </xf>
    <xf numFmtId="0" fontId="19" fillId="0" borderId="9" xfId="6" applyFont="1" applyBorder="1" applyAlignment="1">
      <alignment horizontal="center" vertical="center"/>
    </xf>
    <xf numFmtId="10" fontId="18" fillId="0" borderId="10" xfId="6" applyNumberFormat="1" applyFont="1" applyBorder="1" applyAlignment="1">
      <alignment horizontal="center" vertical="center"/>
    </xf>
    <xf numFmtId="39" fontId="18" fillId="0" borderId="15" xfId="6" applyNumberFormat="1" applyFont="1" applyBorder="1" applyAlignment="1">
      <alignment vertical="center"/>
    </xf>
    <xf numFmtId="39" fontId="18" fillId="0" borderId="2" xfId="6" applyNumberFormat="1" applyFont="1" applyBorder="1" applyAlignment="1">
      <alignment vertical="center"/>
    </xf>
    <xf numFmtId="0" fontId="33" fillId="6" borderId="10" xfId="4" applyFont="1" applyFill="1" applyBorder="1"/>
    <xf numFmtId="2" fontId="34" fillId="6" borderId="10" xfId="27" quotePrefix="1" applyNumberFormat="1" applyFont="1" applyFill="1" applyBorder="1" applyAlignment="1">
      <alignment horizontal="center" vertical="center"/>
    </xf>
    <xf numFmtId="0" fontId="34" fillId="6" borderId="10" xfId="27" quotePrefix="1" applyFont="1" applyFill="1" applyBorder="1" applyAlignment="1">
      <alignment horizontal="center" vertical="center"/>
    </xf>
    <xf numFmtId="4" fontId="34" fillId="6" borderId="10" xfId="27" quotePrefix="1" applyNumberFormat="1" applyFont="1" applyFill="1" applyBorder="1" applyAlignment="1">
      <alignment horizontal="right" vertical="center"/>
    </xf>
    <xf numFmtId="43" fontId="0" fillId="0" borderId="0" xfId="0" applyNumberFormat="1"/>
    <xf numFmtId="4" fontId="37" fillId="0" borderId="0" xfId="0" applyNumberFormat="1" applyFont="1"/>
    <xf numFmtId="4" fontId="36" fillId="0" borderId="38" xfId="28" applyNumberFormat="1" applyFont="1" applyFill="1" applyBorder="1" applyAlignment="1" applyProtection="1">
      <alignment horizontal="right" vertical="center"/>
    </xf>
    <xf numFmtId="44" fontId="34" fillId="3" borderId="10" xfId="28" quotePrefix="1" applyFont="1" applyFill="1" applyBorder="1" applyAlignment="1">
      <alignment horizontal="right" vertical="center"/>
    </xf>
    <xf numFmtId="0" fontId="3" fillId="3" borderId="10" xfId="4" applyFill="1" applyBorder="1"/>
    <xf numFmtId="4" fontId="3" fillId="0" borderId="38" xfId="0" applyNumberFormat="1" applyFont="1" applyBorder="1" applyAlignment="1">
      <alignment wrapText="1"/>
    </xf>
    <xf numFmtId="4" fontId="36" fillId="0" borderId="38" xfId="29" applyNumberFormat="1" applyFont="1" applyFill="1" applyBorder="1" applyAlignment="1">
      <alignment horizontal="right"/>
    </xf>
    <xf numFmtId="4" fontId="36" fillId="0" borderId="38" xfId="4" applyNumberFormat="1" applyFont="1" applyBorder="1" applyAlignment="1">
      <alignment horizontal="right"/>
    </xf>
    <xf numFmtId="4" fontId="60" fillId="0" borderId="0" xfId="0" applyNumberFormat="1" applyFont="1"/>
    <xf numFmtId="4" fontId="36" fillId="0" borderId="38" xfId="0" applyNumberFormat="1" applyFont="1" applyBorder="1" applyAlignment="1">
      <alignment horizontal="right"/>
    </xf>
    <xf numFmtId="4" fontId="3" fillId="0" borderId="38" xfId="0" applyNumberFormat="1" applyFont="1" applyBorder="1" applyAlignment="1">
      <alignment horizontal="center" vertical="center"/>
    </xf>
    <xf numFmtId="4" fontId="3" fillId="0" borderId="38" xfId="0" applyNumberFormat="1" applyFont="1" applyBorder="1" applyAlignment="1">
      <alignment horizontal="center"/>
    </xf>
    <xf numFmtId="4" fontId="3" fillId="0" borderId="38" xfId="0" applyNumberFormat="1" applyFont="1" applyBorder="1" applyAlignment="1">
      <alignment horizontal="center" vertical="top"/>
    </xf>
    <xf numFmtId="4" fontId="3" fillId="0" borderId="38" xfId="0" applyNumberFormat="1" applyFont="1" applyBorder="1"/>
    <xf numFmtId="44" fontId="3" fillId="6" borderId="10" xfId="28" quotePrefix="1" applyFont="1" applyFill="1" applyBorder="1" applyAlignment="1">
      <alignment horizontal="right" vertical="center"/>
    </xf>
    <xf numFmtId="0" fontId="3" fillId="6" borderId="10" xfId="4" applyFill="1" applyBorder="1"/>
    <xf numFmtId="4" fontId="36" fillId="0" borderId="38" xfId="28" applyNumberFormat="1" applyFont="1" applyFill="1" applyBorder="1" applyAlignment="1">
      <alignment horizontal="right"/>
    </xf>
    <xf numFmtId="4" fontId="3" fillId="0" borderId="38" xfId="28" applyNumberFormat="1" applyFont="1" applyBorder="1" applyAlignment="1">
      <alignment horizontal="right"/>
    </xf>
    <xf numFmtId="2" fontId="60" fillId="0" borderId="38" xfId="292" applyNumberFormat="1" applyFont="1" applyBorder="1"/>
    <xf numFmtId="0" fontId="60" fillId="0" borderId="38" xfId="292" applyFont="1" applyBorder="1"/>
    <xf numFmtId="0" fontId="3" fillId="0" borderId="38" xfId="4" applyBorder="1" applyAlignment="1">
      <alignment horizontal="center" vertical="center"/>
    </xf>
    <xf numFmtId="4" fontId="0" fillId="0" borderId="0" xfId="0" applyNumberFormat="1"/>
    <xf numFmtId="0" fontId="33" fillId="3" borderId="10" xfId="390" applyFont="1" applyFill="1" applyBorder="1"/>
    <xf numFmtId="2" fontId="34" fillId="3" borderId="10" xfId="331" quotePrefix="1" applyNumberFormat="1" applyFont="1" applyFill="1" applyBorder="1" applyAlignment="1">
      <alignment horizontal="center" vertical="center"/>
    </xf>
    <xf numFmtId="0" fontId="34" fillId="3" borderId="10" xfId="331" quotePrefix="1" applyFont="1" applyFill="1" applyBorder="1" applyAlignment="1">
      <alignment horizontal="center" vertical="center"/>
    </xf>
    <xf numFmtId="4" fontId="34" fillId="3" borderId="10" xfId="331" quotePrefix="1" applyNumberFormat="1" applyFont="1" applyFill="1" applyBorder="1" applyAlignment="1">
      <alignment horizontal="right" vertical="center"/>
    </xf>
    <xf numFmtId="0" fontId="33" fillId="0" borderId="38" xfId="390" applyFont="1" applyBorder="1"/>
    <xf numFmtId="2" fontId="33" fillId="0" borderId="38" xfId="390" applyNumberFormat="1" applyFont="1" applyBorder="1" applyAlignment="1">
      <alignment horizontal="center" vertical="center"/>
    </xf>
    <xf numFmtId="0" fontId="33" fillId="0" borderId="38" xfId="390" applyFont="1" applyBorder="1" applyAlignment="1">
      <alignment horizontal="center" vertical="center"/>
    </xf>
    <xf numFmtId="4" fontId="33" fillId="0" borderId="38" xfId="390" applyNumberFormat="1" applyFont="1" applyBorder="1" applyAlignment="1">
      <alignment horizontal="right"/>
    </xf>
    <xf numFmtId="44" fontId="33" fillId="0" borderId="38" xfId="28" applyFont="1" applyBorder="1" applyAlignment="1">
      <alignment horizontal="right"/>
    </xf>
    <xf numFmtId="4" fontId="35" fillId="0" borderId="38" xfId="390" applyNumberFormat="1" applyFont="1" applyBorder="1" applyAlignment="1">
      <alignment horizontal="right"/>
    </xf>
    <xf numFmtId="44" fontId="35" fillId="0" borderId="38" xfId="28" applyFont="1" applyFill="1" applyBorder="1" applyAlignment="1">
      <alignment horizontal="right"/>
    </xf>
    <xf numFmtId="0" fontId="33" fillId="0" borderId="0" xfId="390" applyFont="1"/>
    <xf numFmtId="2" fontId="33" fillId="0" borderId="0" xfId="390" applyNumberFormat="1" applyFont="1" applyAlignment="1">
      <alignment horizontal="center" vertical="center"/>
    </xf>
    <xf numFmtId="0" fontId="33" fillId="0" borderId="0" xfId="390" applyFont="1" applyAlignment="1">
      <alignment horizontal="center" vertical="center"/>
    </xf>
    <xf numFmtId="4" fontId="35" fillId="0" borderId="0" xfId="390" applyNumberFormat="1" applyFont="1" applyAlignment="1">
      <alignment horizontal="right"/>
    </xf>
    <xf numFmtId="44" fontId="35" fillId="0" borderId="0" xfId="28" applyFont="1" applyFill="1" applyBorder="1" applyAlignment="1">
      <alignment horizontal="right"/>
    </xf>
    <xf numFmtId="2" fontId="3" fillId="6" borderId="10" xfId="331" quotePrefix="1" applyNumberFormat="1" applyFont="1" applyFill="1" applyBorder="1" applyAlignment="1">
      <alignment horizontal="center" vertical="center"/>
    </xf>
    <xf numFmtId="0" fontId="3" fillId="6" borderId="10" xfId="331" quotePrefix="1" applyFont="1" applyFill="1" applyBorder="1" applyAlignment="1">
      <alignment horizontal="center" vertical="center"/>
    </xf>
    <xf numFmtId="4" fontId="3" fillId="6" borderId="10" xfId="331" quotePrefix="1" applyNumberFormat="1" applyFont="1" applyFill="1" applyBorder="1" applyAlignment="1">
      <alignment horizontal="right" vertical="center"/>
    </xf>
    <xf numFmtId="0" fontId="60" fillId="0" borderId="0" xfId="0" applyFont="1"/>
    <xf numFmtId="4" fontId="13" fillId="0" borderId="38" xfId="4" applyNumberFormat="1" applyFont="1" applyBorder="1" applyAlignment="1">
      <alignment horizontal="right" vertical="center"/>
    </xf>
    <xf numFmtId="4" fontId="12" fillId="4" borderId="38" xfId="2" applyNumberFormat="1" applyFont="1" applyFill="1" applyBorder="1" applyAlignment="1">
      <alignment horizontal="center" vertical="center"/>
    </xf>
    <xf numFmtId="0" fontId="12" fillId="4" borderId="38" xfId="2" applyFont="1" applyFill="1" applyBorder="1" applyAlignment="1">
      <alignment horizontal="center" vertical="center"/>
    </xf>
    <xf numFmtId="4" fontId="12" fillId="4" borderId="38" xfId="2" applyNumberFormat="1" applyFont="1" applyFill="1" applyBorder="1" applyAlignment="1">
      <alignment horizontal="center" vertical="justify"/>
    </xf>
    <xf numFmtId="44" fontId="34" fillId="6" borderId="10" xfId="28" quotePrefix="1" applyFont="1" applyFill="1" applyBorder="1" applyAlignment="1">
      <alignment horizontal="right" vertical="center"/>
    </xf>
    <xf numFmtId="44" fontId="35" fillId="0" borderId="38" xfId="247" applyFont="1" applyFill="1" applyBorder="1" applyAlignment="1">
      <alignment horizontal="right"/>
    </xf>
    <xf numFmtId="4" fontId="35" fillId="2" borderId="38" xfId="0" applyNumberFormat="1" applyFont="1" applyFill="1" applyBorder="1" applyAlignment="1">
      <alignment horizontal="right"/>
    </xf>
    <xf numFmtId="44" fontId="35" fillId="2" borderId="38" xfId="28" applyFont="1" applyFill="1" applyBorder="1" applyAlignment="1">
      <alignment horizontal="right"/>
    </xf>
    <xf numFmtId="4" fontId="35" fillId="2" borderId="0" xfId="0" applyNumberFormat="1" applyFont="1" applyFill="1" applyAlignment="1">
      <alignment horizontal="right"/>
    </xf>
    <xf numFmtId="44" fontId="35" fillId="2" borderId="0" xfId="28" applyFont="1" applyFill="1" applyBorder="1" applyAlignment="1">
      <alignment horizontal="right"/>
    </xf>
    <xf numFmtId="0" fontId="33" fillId="0" borderId="38" xfId="4" applyFont="1" applyBorder="1" applyAlignment="1">
      <alignment wrapText="1"/>
    </xf>
    <xf numFmtId="0" fontId="33" fillId="0" borderId="38" xfId="4" applyFont="1" applyBorder="1" applyAlignment="1">
      <alignment horizontal="center" vertical="center"/>
    </xf>
    <xf numFmtId="4" fontId="35" fillId="0" borderId="38" xfId="4" applyNumberFormat="1" applyFont="1" applyBorder="1" applyAlignment="1">
      <alignment horizontal="right"/>
    </xf>
    <xf numFmtId="0" fontId="25" fillId="2" borderId="0" xfId="307" applyFont="1" applyFill="1" applyAlignment="1">
      <alignment vertical="center"/>
    </xf>
    <xf numFmtId="0" fontId="25" fillId="0" borderId="0" xfId="307" applyFont="1" applyAlignment="1">
      <alignment vertical="center"/>
    </xf>
    <xf numFmtId="0" fontId="13" fillId="2" borderId="0" xfId="430" applyFont="1" applyFill="1" applyAlignment="1">
      <alignment vertical="center"/>
    </xf>
    <xf numFmtId="0" fontId="13" fillId="0" borderId="0" xfId="430" applyFont="1" applyAlignment="1">
      <alignment vertical="center"/>
    </xf>
    <xf numFmtId="167" fontId="67" fillId="0" borderId="39" xfId="432" applyFont="1" applyBorder="1" applyAlignment="1">
      <alignment horizontal="center"/>
    </xf>
    <xf numFmtId="0" fontId="67" fillId="0" borderId="39" xfId="0" applyFont="1" applyBorder="1" applyAlignment="1">
      <alignment horizontal="center"/>
    </xf>
    <xf numFmtId="0" fontId="66" fillId="0" borderId="0" xfId="0" applyFont="1"/>
    <xf numFmtId="4" fontId="33" fillId="0" borderId="38" xfId="4" applyNumberFormat="1" applyFont="1" applyBorder="1" applyAlignment="1">
      <alignment horizontal="right"/>
    </xf>
    <xf numFmtId="44" fontId="35" fillId="0" borderId="38" xfId="29" applyFont="1" applyFill="1" applyBorder="1" applyAlignment="1">
      <alignment horizontal="right"/>
    </xf>
    <xf numFmtId="0" fontId="33" fillId="0" borderId="38" xfId="4" applyFont="1" applyBorder="1"/>
    <xf numFmtId="0" fontId="33" fillId="0" borderId="38" xfId="4" applyFont="1" applyBorder="1" applyAlignment="1">
      <alignment horizontal="right"/>
    </xf>
    <xf numFmtId="2" fontId="33" fillId="0" borderId="38" xfId="4" applyNumberFormat="1" applyFont="1" applyBorder="1" applyAlignment="1">
      <alignment horizontal="center" vertical="center"/>
    </xf>
    <xf numFmtId="0" fontId="19" fillId="0" borderId="40" xfId="6" applyFont="1" applyBorder="1" applyAlignment="1">
      <alignment horizontal="center" vertical="center"/>
    </xf>
    <xf numFmtId="0" fontId="18" fillId="0" borderId="19" xfId="6" applyFont="1" applyBorder="1" applyAlignment="1">
      <alignment horizontal="left" vertical="center"/>
    </xf>
    <xf numFmtId="170" fontId="18" fillId="0" borderId="19" xfId="5" applyNumberFormat="1" applyFont="1" applyFill="1" applyBorder="1" applyAlignment="1">
      <alignment horizontal="center" vertical="center"/>
    </xf>
    <xf numFmtId="10" fontId="18" fillId="0" borderId="19" xfId="6" applyNumberFormat="1" applyFont="1" applyBorder="1" applyAlignment="1">
      <alignment horizontal="center" vertical="center"/>
    </xf>
    <xf numFmtId="39" fontId="18" fillId="0" borderId="41" xfId="6" applyNumberFormat="1" applyFont="1" applyBorder="1" applyAlignment="1">
      <alignment vertical="center"/>
    </xf>
    <xf numFmtId="0" fontId="33" fillId="3" borderId="10" xfId="4" applyFont="1" applyFill="1" applyBorder="1"/>
    <xf numFmtId="2" fontId="34" fillId="3" borderId="10" xfId="27" quotePrefix="1" applyNumberFormat="1" applyFont="1" applyFill="1" applyBorder="1" applyAlignment="1">
      <alignment horizontal="center" vertical="center"/>
    </xf>
    <xf numFmtId="0" fontId="34" fillId="3" borderId="10" xfId="27" quotePrefix="1" applyFont="1" applyFill="1" applyBorder="1" applyAlignment="1">
      <alignment horizontal="center" vertical="center"/>
    </xf>
    <xf numFmtId="4" fontId="34" fillId="3" borderId="10" xfId="27" quotePrefix="1" applyNumberFormat="1" applyFont="1" applyFill="1" applyBorder="1" applyAlignment="1">
      <alignment horizontal="right" vertical="center"/>
    </xf>
    <xf numFmtId="0" fontId="13" fillId="2" borderId="7" xfId="2" applyFont="1" applyFill="1" applyBorder="1" applyAlignment="1">
      <alignment horizontal="left" vertical="center"/>
    </xf>
    <xf numFmtId="0" fontId="13" fillId="0" borderId="0" xfId="430" applyFont="1" applyAlignment="1">
      <alignment horizontal="left" vertical="center" wrapText="1"/>
    </xf>
    <xf numFmtId="0" fontId="33" fillId="0" borderId="38" xfId="390" applyFont="1" applyBorder="1" applyAlignment="1">
      <alignment wrapText="1"/>
    </xf>
    <xf numFmtId="10" fontId="33" fillId="0" borderId="38" xfId="390" applyNumberFormat="1" applyFont="1" applyBorder="1" applyAlignment="1">
      <alignment horizontal="center" vertical="center"/>
    </xf>
    <xf numFmtId="166" fontId="0" fillId="0" borderId="0" xfId="0" applyNumberFormat="1"/>
    <xf numFmtId="4" fontId="12" fillId="4" borderId="11" xfId="2" applyNumberFormat="1" applyFont="1" applyFill="1" applyBorder="1" applyAlignment="1">
      <alignment horizontal="right" vertical="justify"/>
    </xf>
    <xf numFmtId="43" fontId="25" fillId="0" borderId="11" xfId="10" applyFont="1" applyFill="1" applyBorder="1" applyAlignment="1" applyProtection="1">
      <alignment horizontal="right"/>
      <protection locked="0"/>
    </xf>
    <xf numFmtId="43" fontId="25" fillId="0" borderId="10" xfId="10" applyFont="1" applyFill="1" applyBorder="1" applyAlignment="1" applyProtection="1">
      <alignment horizontal="right"/>
      <protection hidden="1"/>
    </xf>
    <xf numFmtId="4" fontId="12" fillId="4" borderId="11" xfId="2" applyNumberFormat="1" applyFont="1" applyFill="1" applyBorder="1" applyAlignment="1">
      <alignment horizontal="right" vertical="center"/>
    </xf>
    <xf numFmtId="4" fontId="13" fillId="0" borderId="11" xfId="0" applyNumberFormat="1" applyFont="1" applyBorder="1" applyAlignment="1">
      <alignment horizontal="right" vertical="center"/>
    </xf>
    <xf numFmtId="0" fontId="15" fillId="0" borderId="0" xfId="7" applyFont="1"/>
    <xf numFmtId="0" fontId="15" fillId="0" borderId="0" xfId="7" applyFont="1" applyAlignment="1">
      <alignment horizontal="center"/>
    </xf>
    <xf numFmtId="182" fontId="13" fillId="0" borderId="4" xfId="430" applyNumberFormat="1" applyFont="1" applyBorder="1" applyAlignment="1">
      <alignment horizontal="left" vertical="center" wrapText="1"/>
    </xf>
    <xf numFmtId="0" fontId="13" fillId="0" borderId="5" xfId="430" applyFont="1" applyBorder="1" applyAlignment="1">
      <alignment horizontal="left" vertical="center" wrapText="1"/>
    </xf>
    <xf numFmtId="183" fontId="19" fillId="3" borderId="21" xfId="6" applyNumberFormat="1" applyFont="1" applyFill="1" applyBorder="1" applyAlignment="1">
      <alignment horizontal="right" vertical="center"/>
    </xf>
    <xf numFmtId="0" fontId="7" fillId="2" borderId="0" xfId="2" applyFont="1" applyFill="1" applyAlignment="1">
      <alignment horizontal="justify" vertical="justify"/>
    </xf>
    <xf numFmtId="0" fontId="67" fillId="0" borderId="4" xfId="431" applyFont="1" applyBorder="1"/>
    <xf numFmtId="0" fontId="67" fillId="0" borderId="0" xfId="431" applyFont="1"/>
    <xf numFmtId="0" fontId="65" fillId="0" borderId="0" xfId="431"/>
    <xf numFmtId="49" fontId="67" fillId="0" borderId="5" xfId="432" applyNumberFormat="1" applyFont="1" applyBorder="1" applyAlignment="1">
      <alignment horizontal="center"/>
    </xf>
    <xf numFmtId="1" fontId="12" fillId="4" borderId="16" xfId="1" applyNumberFormat="1" applyFont="1" applyFill="1" applyBorder="1" applyAlignment="1">
      <alignment horizontal="center" vertical="center"/>
    </xf>
    <xf numFmtId="0" fontId="12" fillId="4" borderId="38" xfId="2" applyFont="1" applyFill="1" applyBorder="1" applyAlignment="1">
      <alignment horizontal="justify" vertical="justify"/>
    </xf>
    <xf numFmtId="164" fontId="12" fillId="4" borderId="42" xfId="2" applyNumberFormat="1" applyFont="1" applyFill="1" applyBorder="1" applyAlignment="1">
      <alignment horizontal="right" vertical="center"/>
    </xf>
    <xf numFmtId="2" fontId="13" fillId="0" borderId="16" xfId="3" applyNumberFormat="1" applyFont="1" applyFill="1" applyBorder="1" applyAlignment="1">
      <alignment horizontal="center" vertical="center"/>
    </xf>
    <xf numFmtId="4" fontId="13" fillId="0" borderId="42" xfId="4" applyNumberFormat="1" applyFont="1" applyBorder="1" applyAlignment="1">
      <alignment horizontal="right" vertical="center"/>
    </xf>
    <xf numFmtId="4" fontId="12" fillId="0" borderId="42" xfId="4" applyNumberFormat="1" applyFont="1" applyBorder="1" applyAlignment="1">
      <alignment horizontal="right" vertical="center"/>
    </xf>
    <xf numFmtId="2" fontId="13" fillId="0" borderId="40" xfId="3" applyNumberFormat="1" applyFont="1" applyFill="1" applyBorder="1" applyAlignment="1">
      <alignment horizontal="center" vertical="center"/>
    </xf>
    <xf numFmtId="0" fontId="25" fillId="0" borderId="0" xfId="11" applyFont="1" applyAlignment="1">
      <alignment horizontal="left" vertical="top" wrapText="1"/>
    </xf>
    <xf numFmtId="4" fontId="26" fillId="0" borderId="43" xfId="4" applyNumberFormat="1" applyFont="1" applyBorder="1" applyAlignment="1">
      <alignment horizontal="right" vertical="center"/>
    </xf>
    <xf numFmtId="183" fontId="19" fillId="3" borderId="44" xfId="6" applyNumberFormat="1" applyFont="1" applyFill="1" applyBorder="1" applyAlignment="1">
      <alignment horizontal="right" vertical="center"/>
    </xf>
    <xf numFmtId="0" fontId="18" fillId="0" borderId="38" xfId="6" applyFont="1" applyBorder="1" applyAlignment="1">
      <alignment horizontal="left" vertical="center"/>
    </xf>
    <xf numFmtId="183" fontId="18" fillId="0" borderId="3" xfId="6" applyNumberFormat="1" applyFont="1" applyBorder="1" applyAlignment="1">
      <alignment vertical="center"/>
    </xf>
    <xf numFmtId="170" fontId="18" fillId="0" borderId="38" xfId="5" applyNumberFormat="1" applyFont="1" applyFill="1" applyBorder="1" applyAlignment="1">
      <alignment horizontal="center" vertical="center"/>
    </xf>
    <xf numFmtId="10" fontId="18" fillId="0" borderId="38" xfId="6" applyNumberFormat="1" applyFont="1" applyBorder="1" applyAlignment="1">
      <alignment horizontal="center" vertical="center"/>
    </xf>
    <xf numFmtId="39" fontId="18" fillId="0" borderId="38" xfId="6" applyNumberFormat="1" applyFont="1" applyBorder="1" applyAlignment="1">
      <alignment vertical="center"/>
    </xf>
    <xf numFmtId="183" fontId="18" fillId="0" borderId="42" xfId="6" applyNumberFormat="1" applyFont="1" applyBorder="1" applyAlignment="1">
      <alignment vertical="center"/>
    </xf>
    <xf numFmtId="10" fontId="18" fillId="0" borderId="38" xfId="5" applyNumberFormat="1" applyFont="1" applyFill="1" applyBorder="1" applyAlignment="1">
      <alignment horizontal="center" vertical="center"/>
    </xf>
    <xf numFmtId="183" fontId="18" fillId="0" borderId="43" xfId="6" applyNumberFormat="1" applyFont="1" applyBorder="1" applyAlignment="1">
      <alignment vertical="center"/>
    </xf>
    <xf numFmtId="0" fontId="26" fillId="0" borderId="0" xfId="0" applyFont="1"/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26" fillId="0" borderId="0" xfId="0" applyNumberFormat="1" applyFont="1" applyAlignment="1">
      <alignment horizontal="center" vertical="justify"/>
    </xf>
    <xf numFmtId="183" fontId="19" fillId="5" borderId="24" xfId="0" applyNumberFormat="1" applyFont="1" applyFill="1" applyBorder="1"/>
    <xf numFmtId="0" fontId="13" fillId="0" borderId="4" xfId="430" applyFont="1" applyBorder="1" applyAlignment="1">
      <alignment vertical="center"/>
    </xf>
    <xf numFmtId="0" fontId="20" fillId="0" borderId="4" xfId="6" applyFont="1" applyBorder="1" applyAlignment="1">
      <alignment horizontal="center"/>
    </xf>
    <xf numFmtId="0" fontId="22" fillId="0" borderId="0" xfId="7" applyFont="1"/>
    <xf numFmtId="0" fontId="21" fillId="0" borderId="0" xfId="7" applyFont="1"/>
    <xf numFmtId="0" fontId="20" fillId="0" borderId="5" xfId="6" applyFont="1" applyBorder="1"/>
    <xf numFmtId="0" fontId="14" fillId="0" borderId="4" xfId="6" applyFont="1" applyBorder="1" applyAlignment="1">
      <alignment horizontal="center"/>
    </xf>
    <xf numFmtId="168" fontId="15" fillId="0" borderId="5" xfId="7" applyNumberFormat="1" applyFont="1" applyBorder="1"/>
    <xf numFmtId="0" fontId="0" fillId="0" borderId="5" xfId="0" applyBorder="1"/>
    <xf numFmtId="0" fontId="1" fillId="0" borderId="4" xfId="6" applyBorder="1" applyAlignment="1">
      <alignment horizontal="center"/>
    </xf>
    <xf numFmtId="0" fontId="15" fillId="0" borderId="0" xfId="7" applyFont="1" applyAlignment="1">
      <alignment horizontal="left"/>
    </xf>
    <xf numFmtId="0" fontId="15" fillId="0" borderId="5" xfId="7" applyFont="1" applyBorder="1" applyAlignment="1">
      <alignment horizontal="left"/>
    </xf>
    <xf numFmtId="0" fontId="0" fillId="0" borderId="4" xfId="0" applyBorder="1" applyAlignment="1">
      <alignment horizontal="center"/>
    </xf>
    <xf numFmtId="0" fontId="16" fillId="0" borderId="0" xfId="7" applyFont="1"/>
    <xf numFmtId="0" fontId="17" fillId="0" borderId="0" xfId="7" applyFont="1"/>
    <xf numFmtId="0" fontId="1" fillId="0" borderId="0" xfId="6"/>
    <xf numFmtId="0" fontId="17" fillId="0" borderId="5" xfId="7" applyFont="1" applyBorder="1"/>
    <xf numFmtId="0" fontId="0" fillId="0" borderId="6" xfId="0" applyBorder="1" applyAlignment="1">
      <alignment horizontal="center"/>
    </xf>
    <xf numFmtId="0" fontId="15" fillId="0" borderId="7" xfId="7" applyFont="1" applyBorder="1"/>
    <xf numFmtId="0" fontId="0" fillId="0" borderId="7" xfId="0" applyBorder="1"/>
    <xf numFmtId="4" fontId="4" fillId="2" borderId="7" xfId="2" applyNumberFormat="1" applyFont="1" applyFill="1" applyBorder="1" applyAlignment="1">
      <alignment horizontal="center" vertical="justify"/>
    </xf>
    <xf numFmtId="0" fontId="4" fillId="2" borderId="8" xfId="2" applyFont="1" applyFill="1" applyBorder="1" applyAlignment="1">
      <alignment vertical="center"/>
    </xf>
    <xf numFmtId="0" fontId="33" fillId="0" borderId="10" xfId="390" applyFont="1" applyBorder="1"/>
    <xf numFmtId="4" fontId="33" fillId="0" borderId="38" xfId="390" applyNumberFormat="1" applyFon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 vertical="top"/>
    </xf>
    <xf numFmtId="2" fontId="0" fillId="0" borderId="0" xfId="0" applyNumberFormat="1" applyAlignment="1">
      <alignment horizontal="center" vertical="top"/>
    </xf>
    <xf numFmtId="2" fontId="0" fillId="0" borderId="0" xfId="0" applyNumberFormat="1" applyAlignment="1">
      <alignment vertical="top"/>
    </xf>
    <xf numFmtId="0" fontId="13" fillId="0" borderId="38" xfId="4" applyFont="1" applyBorder="1" applyAlignment="1">
      <alignment horizontal="justify" vertical="justify"/>
    </xf>
    <xf numFmtId="2" fontId="13" fillId="0" borderId="38" xfId="4" applyNumberFormat="1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4" fontId="13" fillId="0" borderId="38" xfId="0" applyNumberFormat="1" applyFont="1" applyBorder="1" applyAlignment="1">
      <alignment horizontal="right" vertical="center"/>
    </xf>
    <xf numFmtId="9" fontId="13" fillId="0" borderId="11" xfId="5" applyFont="1" applyBorder="1" applyAlignment="1">
      <alignment horizontal="justify" vertical="justify"/>
    </xf>
    <xf numFmtId="0" fontId="13" fillId="0" borderId="38" xfId="0" applyFont="1" applyBorder="1" applyAlignment="1">
      <alignment horizontal="left" vertical="center" wrapText="1"/>
    </xf>
    <xf numFmtId="2" fontId="13" fillId="0" borderId="38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13" fillId="0" borderId="38" xfId="4" applyNumberFormat="1" applyFont="1" applyBorder="1" applyAlignment="1">
      <alignment horizontal="center" vertical="center"/>
    </xf>
    <xf numFmtId="0" fontId="19" fillId="0" borderId="4" xfId="6" applyFont="1" applyBorder="1" applyAlignment="1">
      <alignment horizontal="center" vertical="center"/>
    </xf>
    <xf numFmtId="0" fontId="19" fillId="0" borderId="0" xfId="6" applyFont="1" applyAlignment="1">
      <alignment horizontal="center" vertical="center"/>
    </xf>
    <xf numFmtId="43" fontId="19" fillId="0" borderId="0" xfId="6" applyNumberFormat="1" applyFont="1" applyAlignment="1">
      <alignment horizontal="center" vertical="center"/>
    </xf>
    <xf numFmtId="183" fontId="19" fillId="0" borderId="5" xfId="0" applyNumberFormat="1" applyFont="1" applyBorder="1"/>
    <xf numFmtId="182" fontId="13" fillId="0" borderId="0" xfId="430" applyNumberFormat="1" applyFont="1" applyAlignment="1">
      <alignment horizontal="left" vertical="center" wrapText="1"/>
    </xf>
    <xf numFmtId="0" fontId="13" fillId="0" borderId="0" xfId="430" applyFont="1" applyAlignment="1">
      <alignment horizontal="left" vertical="center" wrapText="1"/>
    </xf>
    <xf numFmtId="0" fontId="13" fillId="0" borderId="5" xfId="430" applyFont="1" applyBorder="1" applyAlignment="1">
      <alignment horizontal="left" vertical="center" wrapText="1"/>
    </xf>
    <xf numFmtId="0" fontId="67" fillId="0" borderId="0" xfId="431" applyFont="1" applyAlignment="1">
      <alignment horizontal="center"/>
    </xf>
    <xf numFmtId="0" fontId="67" fillId="0" borderId="5" xfId="431" applyFont="1" applyBorder="1" applyAlignment="1">
      <alignment horizontal="center"/>
    </xf>
    <xf numFmtId="0" fontId="68" fillId="0" borderId="0" xfId="431" applyFont="1" applyAlignment="1">
      <alignment horizontal="center"/>
    </xf>
    <xf numFmtId="0" fontId="68" fillId="0" borderId="5" xfId="431" applyFont="1" applyBorder="1" applyAlignment="1">
      <alignment horizontal="center"/>
    </xf>
    <xf numFmtId="0" fontId="67" fillId="0" borderId="0" xfId="431" applyFont="1" applyAlignment="1">
      <alignment horizontal="right"/>
    </xf>
    <xf numFmtId="0" fontId="12" fillId="2" borderId="0" xfId="307" applyFont="1" applyFill="1" applyAlignment="1">
      <alignment horizontal="left" vertical="center" wrapText="1"/>
    </xf>
    <xf numFmtId="0" fontId="12" fillId="2" borderId="5" xfId="307" applyFont="1" applyFill="1" applyBorder="1" applyAlignment="1">
      <alignment horizontal="left" vertical="center" wrapText="1"/>
    </xf>
    <xf numFmtId="0" fontId="15" fillId="0" borderId="0" xfId="7" applyFont="1" applyAlignment="1">
      <alignment horizontal="center"/>
    </xf>
    <xf numFmtId="0" fontId="15" fillId="0" borderId="5" xfId="7" applyFont="1" applyBorder="1" applyAlignment="1">
      <alignment horizontal="center"/>
    </xf>
    <xf numFmtId="0" fontId="5" fillId="2" borderId="4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2" borderId="0" xfId="2" applyFont="1" applyFill="1" applyAlignment="1">
      <alignment horizontal="left" vertical="center"/>
    </xf>
    <xf numFmtId="0" fontId="8" fillId="2" borderId="5" xfId="2" applyFont="1" applyFill="1" applyBorder="1" applyAlignment="1">
      <alignment horizontal="left" vertical="center"/>
    </xf>
    <xf numFmtId="0" fontId="13" fillId="2" borderId="7" xfId="2" applyFont="1" applyFill="1" applyBorder="1" applyAlignment="1">
      <alignment horizontal="left" vertical="center"/>
    </xf>
    <xf numFmtId="0" fontId="73" fillId="0" borderId="4" xfId="7" applyFont="1" applyBorder="1" applyAlignment="1">
      <alignment horizontal="center"/>
    </xf>
    <xf numFmtId="0" fontId="73" fillId="0" borderId="0" xfId="7" applyFont="1" applyAlignment="1">
      <alignment horizontal="center"/>
    </xf>
    <xf numFmtId="0" fontId="73" fillId="0" borderId="5" xfId="7" applyFont="1" applyBorder="1" applyAlignment="1">
      <alignment horizontal="center"/>
    </xf>
    <xf numFmtId="0" fontId="32" fillId="0" borderId="23" xfId="0" applyFont="1" applyBorder="1" applyAlignment="1">
      <alignment horizontal="center" wrapText="1"/>
    </xf>
    <xf numFmtId="0" fontId="32" fillId="0" borderId="12" xfId="0" applyFont="1" applyBorder="1" applyAlignment="1">
      <alignment horizontal="center" wrapText="1"/>
    </xf>
    <xf numFmtId="0" fontId="32" fillId="0" borderId="24" xfId="0" applyFont="1" applyBorder="1" applyAlignment="1">
      <alignment horizontal="center" wrapText="1"/>
    </xf>
    <xf numFmtId="0" fontId="31" fillId="0" borderId="23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64" fillId="0" borderId="23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64" fillId="0" borderId="24" xfId="0" applyFont="1" applyBorder="1" applyAlignment="1">
      <alignment horizontal="center"/>
    </xf>
    <xf numFmtId="0" fontId="31" fillId="0" borderId="23" xfId="0" applyFont="1" applyBorder="1" applyAlignment="1">
      <alignment horizontal="center" wrapText="1"/>
    </xf>
    <xf numFmtId="0" fontId="31" fillId="0" borderId="12" xfId="0" applyFont="1" applyBorder="1" applyAlignment="1">
      <alignment horizontal="center" wrapText="1"/>
    </xf>
    <xf numFmtId="0" fontId="31" fillId="0" borderId="24" xfId="0" applyFont="1" applyBorder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3" fillId="0" borderId="23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3" fillId="0" borderId="24" xfId="0" applyFont="1" applyBorder="1" applyAlignment="1">
      <alignment horizontal="center"/>
    </xf>
    <xf numFmtId="0" fontId="61" fillId="0" borderId="23" xfId="0" applyFont="1" applyBorder="1" applyAlignment="1">
      <alignment horizontal="center"/>
    </xf>
    <xf numFmtId="0" fontId="61" fillId="0" borderId="12" xfId="0" applyFont="1" applyBorder="1" applyAlignment="1">
      <alignment horizontal="center"/>
    </xf>
    <xf numFmtId="0" fontId="61" fillId="0" borderId="24" xfId="0" applyFont="1" applyBorder="1" applyAlignment="1">
      <alignment horizontal="center"/>
    </xf>
  </cellXfs>
  <cellStyles count="437">
    <cellStyle name="20% - Accent1" xfId="31" xr:uid="{00000000-0005-0000-0000-000000000000}"/>
    <cellStyle name="20% - Accent1 2" xfId="32" xr:uid="{00000000-0005-0000-0000-000001000000}"/>
    <cellStyle name="20% - Accent2" xfId="33" xr:uid="{00000000-0005-0000-0000-000002000000}"/>
    <cellStyle name="20% - Accent2 2" xfId="34" xr:uid="{00000000-0005-0000-0000-000003000000}"/>
    <cellStyle name="20% - Accent3" xfId="35" xr:uid="{00000000-0005-0000-0000-000004000000}"/>
    <cellStyle name="20% - Accent3 2" xfId="36" xr:uid="{00000000-0005-0000-0000-000005000000}"/>
    <cellStyle name="20% - Accent4" xfId="37" xr:uid="{00000000-0005-0000-0000-000006000000}"/>
    <cellStyle name="20% - Accent4 2" xfId="38" xr:uid="{00000000-0005-0000-0000-000007000000}"/>
    <cellStyle name="20% - Accent5" xfId="39" xr:uid="{00000000-0005-0000-0000-000008000000}"/>
    <cellStyle name="20% - Accent5 2" xfId="40" xr:uid="{00000000-0005-0000-0000-000009000000}"/>
    <cellStyle name="20% - Accent6" xfId="41" xr:uid="{00000000-0005-0000-0000-00000A000000}"/>
    <cellStyle name="20% - Accent6 2" xfId="42" xr:uid="{00000000-0005-0000-0000-00000B000000}"/>
    <cellStyle name="20% - Énfasis1 2" xfId="43" xr:uid="{00000000-0005-0000-0000-00000C000000}"/>
    <cellStyle name="20% - Énfasis1 2 2" xfId="44" xr:uid="{00000000-0005-0000-0000-00000D000000}"/>
    <cellStyle name="20% - Énfasis1 3" xfId="45" xr:uid="{00000000-0005-0000-0000-00000E000000}"/>
    <cellStyle name="20% - Énfasis1 3 2" xfId="46" xr:uid="{00000000-0005-0000-0000-00000F000000}"/>
    <cellStyle name="20% - Énfasis1 4" xfId="47" xr:uid="{00000000-0005-0000-0000-000010000000}"/>
    <cellStyle name="20% - Énfasis1 4 2" xfId="48" xr:uid="{00000000-0005-0000-0000-000011000000}"/>
    <cellStyle name="20% - Énfasis2 2" xfId="49" xr:uid="{00000000-0005-0000-0000-000012000000}"/>
    <cellStyle name="20% - Énfasis2 2 2" xfId="50" xr:uid="{00000000-0005-0000-0000-000013000000}"/>
    <cellStyle name="20% - Énfasis2 3" xfId="51" xr:uid="{00000000-0005-0000-0000-000014000000}"/>
    <cellStyle name="20% - Énfasis2 3 2" xfId="52" xr:uid="{00000000-0005-0000-0000-000015000000}"/>
    <cellStyle name="20% - Énfasis2 4" xfId="53" xr:uid="{00000000-0005-0000-0000-000016000000}"/>
    <cellStyle name="20% - Énfasis2 4 2" xfId="54" xr:uid="{00000000-0005-0000-0000-000017000000}"/>
    <cellStyle name="20% - Énfasis3 2" xfId="55" xr:uid="{00000000-0005-0000-0000-000018000000}"/>
    <cellStyle name="20% - Énfasis3 2 2" xfId="56" xr:uid="{00000000-0005-0000-0000-000019000000}"/>
    <cellStyle name="20% - Énfasis3 3" xfId="57" xr:uid="{00000000-0005-0000-0000-00001A000000}"/>
    <cellStyle name="20% - Énfasis3 3 2" xfId="58" xr:uid="{00000000-0005-0000-0000-00001B000000}"/>
    <cellStyle name="20% - Énfasis3 4" xfId="59" xr:uid="{00000000-0005-0000-0000-00001C000000}"/>
    <cellStyle name="20% - Énfasis3 4 2" xfId="60" xr:uid="{00000000-0005-0000-0000-00001D000000}"/>
    <cellStyle name="20% - Énfasis4 2" xfId="61" xr:uid="{00000000-0005-0000-0000-00001E000000}"/>
    <cellStyle name="20% - Énfasis4 2 2" xfId="62" xr:uid="{00000000-0005-0000-0000-00001F000000}"/>
    <cellStyle name="20% - Énfasis4 3" xfId="63" xr:uid="{00000000-0005-0000-0000-000020000000}"/>
    <cellStyle name="20% - Énfasis4 3 2" xfId="64" xr:uid="{00000000-0005-0000-0000-000021000000}"/>
    <cellStyle name="20% - Énfasis4 4" xfId="65" xr:uid="{00000000-0005-0000-0000-000022000000}"/>
    <cellStyle name="20% - Énfasis4 4 2" xfId="66" xr:uid="{00000000-0005-0000-0000-000023000000}"/>
    <cellStyle name="20% - Énfasis5 2" xfId="67" xr:uid="{00000000-0005-0000-0000-000024000000}"/>
    <cellStyle name="20% - Énfasis5 2 2" xfId="68" xr:uid="{00000000-0005-0000-0000-000025000000}"/>
    <cellStyle name="20% - Énfasis5 3" xfId="69" xr:uid="{00000000-0005-0000-0000-000026000000}"/>
    <cellStyle name="20% - Énfasis5 3 2" xfId="70" xr:uid="{00000000-0005-0000-0000-000027000000}"/>
    <cellStyle name="20% - Énfasis5 4" xfId="71" xr:uid="{00000000-0005-0000-0000-000028000000}"/>
    <cellStyle name="20% - Énfasis5 4 2" xfId="72" xr:uid="{00000000-0005-0000-0000-000029000000}"/>
    <cellStyle name="20% - Énfasis6 2" xfId="73" xr:uid="{00000000-0005-0000-0000-00002A000000}"/>
    <cellStyle name="20% - Énfasis6 2 2" xfId="74" xr:uid="{00000000-0005-0000-0000-00002B000000}"/>
    <cellStyle name="20% - Énfasis6 3" xfId="75" xr:uid="{00000000-0005-0000-0000-00002C000000}"/>
    <cellStyle name="20% - Énfasis6 3 2" xfId="76" xr:uid="{00000000-0005-0000-0000-00002D000000}"/>
    <cellStyle name="20% - Énfasis6 4" xfId="77" xr:uid="{00000000-0005-0000-0000-00002E000000}"/>
    <cellStyle name="20% - Énfasis6 4 2" xfId="78" xr:uid="{00000000-0005-0000-0000-00002F000000}"/>
    <cellStyle name="40% - Accent1" xfId="79" xr:uid="{00000000-0005-0000-0000-000030000000}"/>
    <cellStyle name="40% - Accent1 2" xfId="80" xr:uid="{00000000-0005-0000-0000-000031000000}"/>
    <cellStyle name="40% - Accent2" xfId="81" xr:uid="{00000000-0005-0000-0000-000032000000}"/>
    <cellStyle name="40% - Accent2 2" xfId="82" xr:uid="{00000000-0005-0000-0000-000033000000}"/>
    <cellStyle name="40% - Accent3" xfId="83" xr:uid="{00000000-0005-0000-0000-000034000000}"/>
    <cellStyle name="40% - Accent3 2" xfId="84" xr:uid="{00000000-0005-0000-0000-000035000000}"/>
    <cellStyle name="40% - Accent4" xfId="85" xr:uid="{00000000-0005-0000-0000-000036000000}"/>
    <cellStyle name="40% - Accent4 2" xfId="86" xr:uid="{00000000-0005-0000-0000-000037000000}"/>
    <cellStyle name="40% - Accent5" xfId="87" xr:uid="{00000000-0005-0000-0000-000038000000}"/>
    <cellStyle name="40% - Accent5 2" xfId="88" xr:uid="{00000000-0005-0000-0000-000039000000}"/>
    <cellStyle name="40% - Accent6" xfId="89" xr:uid="{00000000-0005-0000-0000-00003A000000}"/>
    <cellStyle name="40% - Accent6 2" xfId="90" xr:uid="{00000000-0005-0000-0000-00003B000000}"/>
    <cellStyle name="40% - Énfasis1 2" xfId="91" xr:uid="{00000000-0005-0000-0000-00003C000000}"/>
    <cellStyle name="40% - Énfasis1 2 2" xfId="92" xr:uid="{00000000-0005-0000-0000-00003D000000}"/>
    <cellStyle name="40% - Énfasis1 3" xfId="93" xr:uid="{00000000-0005-0000-0000-00003E000000}"/>
    <cellStyle name="40% - Énfasis1 3 2" xfId="94" xr:uid="{00000000-0005-0000-0000-00003F000000}"/>
    <cellStyle name="40% - Énfasis1 4" xfId="95" xr:uid="{00000000-0005-0000-0000-000040000000}"/>
    <cellStyle name="40% - Énfasis1 4 2" xfId="96" xr:uid="{00000000-0005-0000-0000-000041000000}"/>
    <cellStyle name="40% - Énfasis2 2" xfId="97" xr:uid="{00000000-0005-0000-0000-000042000000}"/>
    <cellStyle name="40% - Énfasis2 2 2" xfId="98" xr:uid="{00000000-0005-0000-0000-000043000000}"/>
    <cellStyle name="40% - Énfasis2 3" xfId="99" xr:uid="{00000000-0005-0000-0000-000044000000}"/>
    <cellStyle name="40% - Énfasis2 3 2" xfId="100" xr:uid="{00000000-0005-0000-0000-000045000000}"/>
    <cellStyle name="40% - Énfasis2 4" xfId="101" xr:uid="{00000000-0005-0000-0000-000046000000}"/>
    <cellStyle name="40% - Énfasis2 4 2" xfId="102" xr:uid="{00000000-0005-0000-0000-000047000000}"/>
    <cellStyle name="40% - Énfasis3 2" xfId="103" xr:uid="{00000000-0005-0000-0000-000048000000}"/>
    <cellStyle name="40% - Énfasis3 2 2" xfId="104" xr:uid="{00000000-0005-0000-0000-000049000000}"/>
    <cellStyle name="40% - Énfasis3 3" xfId="105" xr:uid="{00000000-0005-0000-0000-00004A000000}"/>
    <cellStyle name="40% - Énfasis3 3 2" xfId="106" xr:uid="{00000000-0005-0000-0000-00004B000000}"/>
    <cellStyle name="40% - Énfasis3 4" xfId="107" xr:uid="{00000000-0005-0000-0000-00004C000000}"/>
    <cellStyle name="40% - Énfasis3 4 2" xfId="108" xr:uid="{00000000-0005-0000-0000-00004D000000}"/>
    <cellStyle name="40% - Énfasis4 2" xfId="109" xr:uid="{00000000-0005-0000-0000-00004E000000}"/>
    <cellStyle name="40% - Énfasis4 2 2" xfId="110" xr:uid="{00000000-0005-0000-0000-00004F000000}"/>
    <cellStyle name="40% - Énfasis4 3" xfId="111" xr:uid="{00000000-0005-0000-0000-000050000000}"/>
    <cellStyle name="40% - Énfasis4 3 2" xfId="112" xr:uid="{00000000-0005-0000-0000-000051000000}"/>
    <cellStyle name="40% - Énfasis4 4" xfId="113" xr:uid="{00000000-0005-0000-0000-000052000000}"/>
    <cellStyle name="40% - Énfasis4 4 2" xfId="114" xr:uid="{00000000-0005-0000-0000-000053000000}"/>
    <cellStyle name="40% - Énfasis4 5" xfId="435" xr:uid="{00000000-0005-0000-0000-000054000000}"/>
    <cellStyle name="40% - Énfasis5 2" xfId="115" xr:uid="{00000000-0005-0000-0000-000055000000}"/>
    <cellStyle name="40% - Énfasis5 2 2" xfId="116" xr:uid="{00000000-0005-0000-0000-000056000000}"/>
    <cellStyle name="40% - Énfasis5 3" xfId="117" xr:uid="{00000000-0005-0000-0000-000057000000}"/>
    <cellStyle name="40% - Énfasis5 3 2" xfId="118" xr:uid="{00000000-0005-0000-0000-000058000000}"/>
    <cellStyle name="40% - Énfasis5 4" xfId="119" xr:uid="{00000000-0005-0000-0000-000059000000}"/>
    <cellStyle name="40% - Énfasis5 4 2" xfId="120" xr:uid="{00000000-0005-0000-0000-00005A000000}"/>
    <cellStyle name="40% - Énfasis6 2" xfId="121" xr:uid="{00000000-0005-0000-0000-00005B000000}"/>
    <cellStyle name="40% - Énfasis6 2 2" xfId="122" xr:uid="{00000000-0005-0000-0000-00005C000000}"/>
    <cellStyle name="40% - Énfasis6 3" xfId="123" xr:uid="{00000000-0005-0000-0000-00005D000000}"/>
    <cellStyle name="40% - Énfasis6 3 2" xfId="124" xr:uid="{00000000-0005-0000-0000-00005E000000}"/>
    <cellStyle name="40% - Énfasis6 4" xfId="125" xr:uid="{00000000-0005-0000-0000-00005F000000}"/>
    <cellStyle name="40% - Énfasis6 4 2" xfId="126" xr:uid="{00000000-0005-0000-0000-000060000000}"/>
    <cellStyle name="60% - Accent1" xfId="127" xr:uid="{00000000-0005-0000-0000-000061000000}"/>
    <cellStyle name="60% - Accent2" xfId="128" xr:uid="{00000000-0005-0000-0000-000062000000}"/>
    <cellStyle name="60% - Accent3" xfId="129" xr:uid="{00000000-0005-0000-0000-000063000000}"/>
    <cellStyle name="60% - Accent4" xfId="130" xr:uid="{00000000-0005-0000-0000-000064000000}"/>
    <cellStyle name="60% - Accent5" xfId="131" xr:uid="{00000000-0005-0000-0000-000065000000}"/>
    <cellStyle name="60% - Accent6" xfId="132" xr:uid="{00000000-0005-0000-0000-000066000000}"/>
    <cellStyle name="60% - Énfasis1 2" xfId="133" xr:uid="{00000000-0005-0000-0000-000067000000}"/>
    <cellStyle name="60% - Énfasis1 3" xfId="134" xr:uid="{00000000-0005-0000-0000-000068000000}"/>
    <cellStyle name="60% - Énfasis1 4" xfId="135" xr:uid="{00000000-0005-0000-0000-000069000000}"/>
    <cellStyle name="60% - Énfasis2 2" xfId="136" xr:uid="{00000000-0005-0000-0000-00006A000000}"/>
    <cellStyle name="60% - Énfasis2 3" xfId="137" xr:uid="{00000000-0005-0000-0000-00006B000000}"/>
    <cellStyle name="60% - Énfasis2 4" xfId="138" xr:uid="{00000000-0005-0000-0000-00006C000000}"/>
    <cellStyle name="60% - Énfasis3 2" xfId="139" xr:uid="{00000000-0005-0000-0000-00006D000000}"/>
    <cellStyle name="60% - Énfasis3 3" xfId="140" xr:uid="{00000000-0005-0000-0000-00006E000000}"/>
    <cellStyle name="60% - Énfasis3 4" xfId="141" xr:uid="{00000000-0005-0000-0000-00006F000000}"/>
    <cellStyle name="60% - Énfasis3 5" xfId="434" xr:uid="{00000000-0005-0000-0000-000070000000}"/>
    <cellStyle name="60% - Énfasis4 2" xfId="142" xr:uid="{00000000-0005-0000-0000-000071000000}"/>
    <cellStyle name="60% - Énfasis4 3" xfId="143" xr:uid="{00000000-0005-0000-0000-000072000000}"/>
    <cellStyle name="60% - Énfasis4 4" xfId="144" xr:uid="{00000000-0005-0000-0000-000073000000}"/>
    <cellStyle name="60% - Énfasis5 2" xfId="145" xr:uid="{00000000-0005-0000-0000-000074000000}"/>
    <cellStyle name="60% - Énfasis5 3" xfId="146" xr:uid="{00000000-0005-0000-0000-000075000000}"/>
    <cellStyle name="60% - Énfasis5 4" xfId="147" xr:uid="{00000000-0005-0000-0000-000076000000}"/>
    <cellStyle name="60% - Énfasis6 2" xfId="148" xr:uid="{00000000-0005-0000-0000-000077000000}"/>
    <cellStyle name="60% - Énfasis6 3" xfId="149" xr:uid="{00000000-0005-0000-0000-000078000000}"/>
    <cellStyle name="60% - Énfasis6 4" xfId="150" xr:uid="{00000000-0005-0000-0000-000079000000}"/>
    <cellStyle name="Accent1" xfId="151" xr:uid="{00000000-0005-0000-0000-00007A000000}"/>
    <cellStyle name="Accent2" xfId="152" xr:uid="{00000000-0005-0000-0000-00007B000000}"/>
    <cellStyle name="Accent3" xfId="153" xr:uid="{00000000-0005-0000-0000-00007C000000}"/>
    <cellStyle name="Accent4" xfId="154" xr:uid="{00000000-0005-0000-0000-00007D000000}"/>
    <cellStyle name="Accent5" xfId="155" xr:uid="{00000000-0005-0000-0000-00007E000000}"/>
    <cellStyle name="Accent6" xfId="156" xr:uid="{00000000-0005-0000-0000-00007F000000}"/>
    <cellStyle name="Bad" xfId="157" xr:uid="{00000000-0005-0000-0000-000080000000}"/>
    <cellStyle name="Buena 2" xfId="158" xr:uid="{00000000-0005-0000-0000-000081000000}"/>
    <cellStyle name="Buena 3" xfId="159" xr:uid="{00000000-0005-0000-0000-000082000000}"/>
    <cellStyle name="Buena 4" xfId="160" xr:uid="{00000000-0005-0000-0000-000083000000}"/>
    <cellStyle name="Calculation" xfId="161" xr:uid="{00000000-0005-0000-0000-000084000000}"/>
    <cellStyle name="Calculation 2" xfId="411" xr:uid="{00000000-0005-0000-0000-000085000000}"/>
    <cellStyle name="Cálculo 2" xfId="162" xr:uid="{00000000-0005-0000-0000-000086000000}"/>
    <cellStyle name="Cálculo 2 2" xfId="412" xr:uid="{00000000-0005-0000-0000-000087000000}"/>
    <cellStyle name="Cálculo 3" xfId="163" xr:uid="{00000000-0005-0000-0000-000088000000}"/>
    <cellStyle name="Cálculo 3 2" xfId="413" xr:uid="{00000000-0005-0000-0000-000089000000}"/>
    <cellStyle name="Cálculo 4" xfId="164" xr:uid="{00000000-0005-0000-0000-00008A000000}"/>
    <cellStyle name="Cálculo 4 2" xfId="414" xr:uid="{00000000-0005-0000-0000-00008B000000}"/>
    <cellStyle name="Celda de comprobación 2" xfId="165" xr:uid="{00000000-0005-0000-0000-00008C000000}"/>
    <cellStyle name="Celda de comprobación 3" xfId="166" xr:uid="{00000000-0005-0000-0000-00008D000000}"/>
    <cellStyle name="Celda de comprobación 4" xfId="167" xr:uid="{00000000-0005-0000-0000-00008E000000}"/>
    <cellStyle name="Celda vinculada 2" xfId="168" xr:uid="{00000000-0005-0000-0000-00008F000000}"/>
    <cellStyle name="Celda vinculada 3" xfId="169" xr:uid="{00000000-0005-0000-0000-000090000000}"/>
    <cellStyle name="Celda vinculada 4" xfId="170" xr:uid="{00000000-0005-0000-0000-000091000000}"/>
    <cellStyle name="Check Cell" xfId="171" xr:uid="{00000000-0005-0000-0000-000092000000}"/>
    <cellStyle name="Comma 16 2 2" xfId="404" xr:uid="{00000000-0005-0000-0000-000093000000}"/>
    <cellStyle name="Comma 2" xfId="26" xr:uid="{00000000-0005-0000-0000-000094000000}"/>
    <cellStyle name="Comma 2 2" xfId="172" xr:uid="{00000000-0005-0000-0000-000095000000}"/>
    <cellStyle name="Comma 2 4" xfId="10" xr:uid="{00000000-0005-0000-0000-000096000000}"/>
    <cellStyle name="Comma_ACTUALIZACION PRESUPUESTOS GRAL JULIO 2003" xfId="405" xr:uid="{00000000-0005-0000-0000-000097000000}"/>
    <cellStyle name="Currency_Presupuesto Base (Alfa 2000, S.A.) - Análisis de Costos" xfId="392" xr:uid="{00000000-0005-0000-0000-000098000000}"/>
    <cellStyle name="Emphasis 1" xfId="173" xr:uid="{00000000-0005-0000-0000-000099000000}"/>
    <cellStyle name="Emphasis 2" xfId="174" xr:uid="{00000000-0005-0000-0000-00009A000000}"/>
    <cellStyle name="Emphasis 3" xfId="175" xr:uid="{00000000-0005-0000-0000-00009B000000}"/>
    <cellStyle name="Encabezado 4 2" xfId="176" xr:uid="{00000000-0005-0000-0000-00009C000000}"/>
    <cellStyle name="Encabezado 4 3" xfId="177" xr:uid="{00000000-0005-0000-0000-00009D000000}"/>
    <cellStyle name="Encabezado 4 4" xfId="178" xr:uid="{00000000-0005-0000-0000-00009E000000}"/>
    <cellStyle name="Énfasis1 2" xfId="179" xr:uid="{00000000-0005-0000-0000-00009F000000}"/>
    <cellStyle name="Énfasis1 3" xfId="180" xr:uid="{00000000-0005-0000-0000-0000A0000000}"/>
    <cellStyle name="Énfasis1 4" xfId="181" xr:uid="{00000000-0005-0000-0000-0000A1000000}"/>
    <cellStyle name="Énfasis2 2" xfId="182" xr:uid="{00000000-0005-0000-0000-0000A2000000}"/>
    <cellStyle name="Énfasis2 3" xfId="183" xr:uid="{00000000-0005-0000-0000-0000A3000000}"/>
    <cellStyle name="Énfasis2 4" xfId="184" xr:uid="{00000000-0005-0000-0000-0000A4000000}"/>
    <cellStyle name="Énfasis3 2" xfId="185" xr:uid="{00000000-0005-0000-0000-0000A5000000}"/>
    <cellStyle name="Énfasis3 3" xfId="186" xr:uid="{00000000-0005-0000-0000-0000A6000000}"/>
    <cellStyle name="Énfasis3 4" xfId="187" xr:uid="{00000000-0005-0000-0000-0000A7000000}"/>
    <cellStyle name="Énfasis4 2" xfId="188" xr:uid="{00000000-0005-0000-0000-0000A8000000}"/>
    <cellStyle name="Énfasis4 3" xfId="189" xr:uid="{00000000-0005-0000-0000-0000A9000000}"/>
    <cellStyle name="Énfasis4 4" xfId="190" xr:uid="{00000000-0005-0000-0000-0000AA000000}"/>
    <cellStyle name="Énfasis5 2" xfId="191" xr:uid="{00000000-0005-0000-0000-0000AB000000}"/>
    <cellStyle name="Énfasis5 3" xfId="192" xr:uid="{00000000-0005-0000-0000-0000AC000000}"/>
    <cellStyle name="Énfasis5 4" xfId="193" xr:uid="{00000000-0005-0000-0000-0000AD000000}"/>
    <cellStyle name="Énfasis6 2" xfId="194" xr:uid="{00000000-0005-0000-0000-0000AE000000}"/>
    <cellStyle name="Énfasis6 3" xfId="195" xr:uid="{00000000-0005-0000-0000-0000AF000000}"/>
    <cellStyle name="Énfasis6 4" xfId="196" xr:uid="{00000000-0005-0000-0000-0000B0000000}"/>
    <cellStyle name="Entrada 2" xfId="197" xr:uid="{00000000-0005-0000-0000-0000B1000000}"/>
    <cellStyle name="Entrada 2 2" xfId="415" xr:uid="{00000000-0005-0000-0000-0000B2000000}"/>
    <cellStyle name="Entrada 3" xfId="198" xr:uid="{00000000-0005-0000-0000-0000B3000000}"/>
    <cellStyle name="Entrada 3 2" xfId="416" xr:uid="{00000000-0005-0000-0000-0000B4000000}"/>
    <cellStyle name="Entrada 4" xfId="199" xr:uid="{00000000-0005-0000-0000-0000B5000000}"/>
    <cellStyle name="Entrada 4 2" xfId="417" xr:uid="{00000000-0005-0000-0000-0000B6000000}"/>
    <cellStyle name="Euro" xfId="200" xr:uid="{00000000-0005-0000-0000-0000B7000000}"/>
    <cellStyle name="Euro 2" xfId="201" xr:uid="{00000000-0005-0000-0000-0000B8000000}"/>
    <cellStyle name="Explanatory Text" xfId="202" xr:uid="{00000000-0005-0000-0000-0000B9000000}"/>
    <cellStyle name="Good" xfId="203" xr:uid="{00000000-0005-0000-0000-0000BA000000}"/>
    <cellStyle name="Heading 1" xfId="204" xr:uid="{00000000-0005-0000-0000-0000BB000000}"/>
    <cellStyle name="Heading 2" xfId="205" xr:uid="{00000000-0005-0000-0000-0000BC000000}"/>
    <cellStyle name="Heading 3" xfId="206" xr:uid="{00000000-0005-0000-0000-0000BD000000}"/>
    <cellStyle name="Heading 4" xfId="207" xr:uid="{00000000-0005-0000-0000-0000BE000000}"/>
    <cellStyle name="Hipervínculo visitado 2" xfId="208" xr:uid="{00000000-0005-0000-0000-0000BF000000}"/>
    <cellStyle name="Incorrecto 2" xfId="209" xr:uid="{00000000-0005-0000-0000-0000C0000000}"/>
    <cellStyle name="Incorrecto 3" xfId="210" xr:uid="{00000000-0005-0000-0000-0000C1000000}"/>
    <cellStyle name="Incorrecto 4" xfId="211" xr:uid="{00000000-0005-0000-0000-0000C2000000}"/>
    <cellStyle name="Input" xfId="212" xr:uid="{00000000-0005-0000-0000-0000C3000000}"/>
    <cellStyle name="Input 2" xfId="418" xr:uid="{00000000-0005-0000-0000-0000C4000000}"/>
    <cellStyle name="Linked Cell" xfId="213" xr:uid="{00000000-0005-0000-0000-0000C5000000}"/>
    <cellStyle name="Millares" xfId="1" builtinId="3"/>
    <cellStyle name="Millares 10" xfId="214" xr:uid="{00000000-0005-0000-0000-0000C7000000}"/>
    <cellStyle name="Millares 11" xfId="215" xr:uid="{00000000-0005-0000-0000-0000C8000000}"/>
    <cellStyle name="Millares 12" xfId="403" xr:uid="{00000000-0005-0000-0000-0000C9000000}"/>
    <cellStyle name="Millares 12 3" xfId="216" xr:uid="{00000000-0005-0000-0000-0000CA000000}"/>
    <cellStyle name="Millares 12 8" xfId="18" xr:uid="{00000000-0005-0000-0000-0000CB000000}"/>
    <cellStyle name="Millares 13" xfId="432" xr:uid="{00000000-0005-0000-0000-0000CC000000}"/>
    <cellStyle name="Millares 2" xfId="21" xr:uid="{00000000-0005-0000-0000-0000CD000000}"/>
    <cellStyle name="Millares 2 2" xfId="217" xr:uid="{00000000-0005-0000-0000-0000CE000000}"/>
    <cellStyle name="Millares 2 2 2" xfId="395" xr:uid="{00000000-0005-0000-0000-0000CF000000}"/>
    <cellStyle name="Millares 2 3" xfId="218" xr:uid="{00000000-0005-0000-0000-0000D0000000}"/>
    <cellStyle name="Millares 2 3 11" xfId="17" xr:uid="{00000000-0005-0000-0000-0000D1000000}"/>
    <cellStyle name="Millares 2 4" xfId="219" xr:uid="{00000000-0005-0000-0000-0000D2000000}"/>
    <cellStyle name="Millares 2 4 2" xfId="220" xr:uid="{00000000-0005-0000-0000-0000D3000000}"/>
    <cellStyle name="Millares 2 5" xfId="221" xr:uid="{00000000-0005-0000-0000-0000D4000000}"/>
    <cellStyle name="Millares 2 6" xfId="406" xr:uid="{00000000-0005-0000-0000-0000D5000000}"/>
    <cellStyle name="Millares 3" xfId="222" xr:uid="{00000000-0005-0000-0000-0000D6000000}"/>
    <cellStyle name="Millares 3 2" xfId="223" xr:uid="{00000000-0005-0000-0000-0000D7000000}"/>
    <cellStyle name="Millares 3 2 2" xfId="224" xr:uid="{00000000-0005-0000-0000-0000D8000000}"/>
    <cellStyle name="Millares 3 2 5" xfId="225" xr:uid="{00000000-0005-0000-0000-0000D9000000}"/>
    <cellStyle name="Millares 3 3" xfId="226" xr:uid="{00000000-0005-0000-0000-0000DA000000}"/>
    <cellStyle name="Millares 3 4" xfId="436" xr:uid="{00000000-0005-0000-0000-0000DB000000}"/>
    <cellStyle name="Millares 4" xfId="227" xr:uid="{00000000-0005-0000-0000-0000DC000000}"/>
    <cellStyle name="Millares 4 2" xfId="228" xr:uid="{00000000-0005-0000-0000-0000DD000000}"/>
    <cellStyle name="Millares 4 2 2" xfId="229" xr:uid="{00000000-0005-0000-0000-0000DE000000}"/>
    <cellStyle name="Millares 4 3" xfId="408" xr:uid="{00000000-0005-0000-0000-0000DF000000}"/>
    <cellStyle name="Millares 5" xfId="230" xr:uid="{00000000-0005-0000-0000-0000E0000000}"/>
    <cellStyle name="Millares 5 2" xfId="231" xr:uid="{00000000-0005-0000-0000-0000E1000000}"/>
    <cellStyle name="Millares 5 2 2" xfId="391" xr:uid="{00000000-0005-0000-0000-0000E2000000}"/>
    <cellStyle name="Millares 5 3" xfId="232" xr:uid="{00000000-0005-0000-0000-0000E3000000}"/>
    <cellStyle name="Millares 6" xfId="233" xr:uid="{00000000-0005-0000-0000-0000E4000000}"/>
    <cellStyle name="Millares 6 2" xfId="234" xr:uid="{00000000-0005-0000-0000-0000E5000000}"/>
    <cellStyle name="Millares 6 3" xfId="397" xr:uid="{00000000-0005-0000-0000-0000E6000000}"/>
    <cellStyle name="Millares 7" xfId="235" xr:uid="{00000000-0005-0000-0000-0000E7000000}"/>
    <cellStyle name="Millares 7 2" xfId="236" xr:uid="{00000000-0005-0000-0000-0000E8000000}"/>
    <cellStyle name="Millares 8" xfId="237" xr:uid="{00000000-0005-0000-0000-0000E9000000}"/>
    <cellStyle name="Millares 8 2" xfId="238" xr:uid="{00000000-0005-0000-0000-0000EA000000}"/>
    <cellStyle name="Millares 9" xfId="239" xr:uid="{00000000-0005-0000-0000-0000EB000000}"/>
    <cellStyle name="Moneda [0] 2" xfId="240" xr:uid="{00000000-0005-0000-0000-0000EC000000}"/>
    <cellStyle name="Moneda 10" xfId="394" xr:uid="{00000000-0005-0000-0000-0000ED000000}"/>
    <cellStyle name="Moneda 11" xfId="410" xr:uid="{00000000-0005-0000-0000-0000EE000000}"/>
    <cellStyle name="Moneda 17" xfId="30" xr:uid="{00000000-0005-0000-0000-0000EF000000}"/>
    <cellStyle name="Moneda 18" xfId="28" xr:uid="{00000000-0005-0000-0000-0000F0000000}"/>
    <cellStyle name="Moneda 19" xfId="29" xr:uid="{00000000-0005-0000-0000-0000F1000000}"/>
    <cellStyle name="Moneda 2" xfId="3" xr:uid="{00000000-0005-0000-0000-0000F2000000}"/>
    <cellStyle name="Moneda 2 2" xfId="242" xr:uid="{00000000-0005-0000-0000-0000F3000000}"/>
    <cellStyle name="Moneda 2 2 2" xfId="407" xr:uid="{00000000-0005-0000-0000-0000F4000000}"/>
    <cellStyle name="Moneda 2 2 5" xfId="243" xr:uid="{00000000-0005-0000-0000-0000F5000000}"/>
    <cellStyle name="Moneda 2 3" xfId="244" xr:uid="{00000000-0005-0000-0000-0000F6000000}"/>
    <cellStyle name="Moneda 2 4" xfId="245" xr:uid="{00000000-0005-0000-0000-0000F7000000}"/>
    <cellStyle name="Moneda 2 5" xfId="246" xr:uid="{00000000-0005-0000-0000-0000F8000000}"/>
    <cellStyle name="Moneda 2 6" xfId="241" xr:uid="{00000000-0005-0000-0000-0000F9000000}"/>
    <cellStyle name="Moneda 20" xfId="247" xr:uid="{00000000-0005-0000-0000-0000FA000000}"/>
    <cellStyle name="Moneda 3" xfId="248" xr:uid="{00000000-0005-0000-0000-0000FB000000}"/>
    <cellStyle name="Moneda 4" xfId="249" xr:uid="{00000000-0005-0000-0000-0000FC000000}"/>
    <cellStyle name="Moneda 5" xfId="398" xr:uid="{00000000-0005-0000-0000-0000FD000000}"/>
    <cellStyle name="Moneda 6" xfId="393" xr:uid="{00000000-0005-0000-0000-0000FE000000}"/>
    <cellStyle name="Moneda 7" xfId="400" xr:uid="{00000000-0005-0000-0000-0000FF000000}"/>
    <cellStyle name="Moneda 8" xfId="396" xr:uid="{00000000-0005-0000-0000-000000010000}"/>
    <cellStyle name="Moneda 9" xfId="402" xr:uid="{00000000-0005-0000-0000-000001010000}"/>
    <cellStyle name="Neutral 2" xfId="250" xr:uid="{00000000-0005-0000-0000-000002010000}"/>
    <cellStyle name="Neutral 3" xfId="251" xr:uid="{00000000-0005-0000-0000-000003010000}"/>
    <cellStyle name="Neutral 4" xfId="252" xr:uid="{00000000-0005-0000-0000-000004010000}"/>
    <cellStyle name="No-definido" xfId="253" xr:uid="{00000000-0005-0000-0000-000005010000}"/>
    <cellStyle name="Normal" xfId="0" builtinId="0"/>
    <cellStyle name="Normal - Style1" xfId="254" xr:uid="{00000000-0005-0000-0000-000007010000}"/>
    <cellStyle name="Normal 10" xfId="2" xr:uid="{00000000-0005-0000-0000-000008010000}"/>
    <cellStyle name="Normal 10 2" xfId="256" xr:uid="{00000000-0005-0000-0000-000009010000}"/>
    <cellStyle name="Normal 10 2 2 3" xfId="22" xr:uid="{00000000-0005-0000-0000-00000A010000}"/>
    <cellStyle name="Normal 10 3" xfId="255" xr:uid="{00000000-0005-0000-0000-00000B010000}"/>
    <cellStyle name="Normal 10 3 2 2 2" xfId="12" xr:uid="{00000000-0005-0000-0000-00000C010000}"/>
    <cellStyle name="Normal 11" xfId="257" xr:uid="{00000000-0005-0000-0000-00000D010000}"/>
    <cellStyle name="Normal 11 2" xfId="258" xr:uid="{00000000-0005-0000-0000-00000E010000}"/>
    <cellStyle name="Normal 12" xfId="259" xr:uid="{00000000-0005-0000-0000-00000F010000}"/>
    <cellStyle name="Normal 12 2" xfId="260" xr:uid="{00000000-0005-0000-0000-000010010000}"/>
    <cellStyle name="Normal 127 2 2" xfId="24" xr:uid="{00000000-0005-0000-0000-000011010000}"/>
    <cellStyle name="Normal 13" xfId="261" xr:uid="{00000000-0005-0000-0000-000012010000}"/>
    <cellStyle name="Normal 13 2" xfId="262" xr:uid="{00000000-0005-0000-0000-000013010000}"/>
    <cellStyle name="Normal 133 2" xfId="23" xr:uid="{00000000-0005-0000-0000-000014010000}"/>
    <cellStyle name="Normal 134 2 2" xfId="16" xr:uid="{00000000-0005-0000-0000-000015010000}"/>
    <cellStyle name="Normal 139" xfId="15" xr:uid="{00000000-0005-0000-0000-000016010000}"/>
    <cellStyle name="Normal 14" xfId="263" xr:uid="{00000000-0005-0000-0000-000017010000}"/>
    <cellStyle name="Normal 14 2" xfId="264" xr:uid="{00000000-0005-0000-0000-000018010000}"/>
    <cellStyle name="Normal 15" xfId="265" xr:uid="{00000000-0005-0000-0000-000019010000}"/>
    <cellStyle name="Normal 15 2" xfId="266" xr:uid="{00000000-0005-0000-0000-00001A010000}"/>
    <cellStyle name="Normal 16" xfId="267" xr:uid="{00000000-0005-0000-0000-00001B010000}"/>
    <cellStyle name="Normal 16 2" xfId="268" xr:uid="{00000000-0005-0000-0000-00001C010000}"/>
    <cellStyle name="Normal 17" xfId="269" xr:uid="{00000000-0005-0000-0000-00001D010000}"/>
    <cellStyle name="Normal 17 2" xfId="270" xr:uid="{00000000-0005-0000-0000-00001E010000}"/>
    <cellStyle name="Normal 18" xfId="271" xr:uid="{00000000-0005-0000-0000-00001F010000}"/>
    <cellStyle name="Normal 18 2" xfId="272" xr:uid="{00000000-0005-0000-0000-000020010000}"/>
    <cellStyle name="Normal 19" xfId="273" xr:uid="{00000000-0005-0000-0000-000021010000}"/>
    <cellStyle name="Normal 2" xfId="4" xr:uid="{00000000-0005-0000-0000-000022010000}"/>
    <cellStyle name="Normal 2 10" xfId="274" xr:uid="{00000000-0005-0000-0000-000023010000}"/>
    <cellStyle name="Normal 2 10 2 2" xfId="14" xr:uid="{00000000-0005-0000-0000-000024010000}"/>
    <cellStyle name="Normal 2 2" xfId="275" xr:uid="{00000000-0005-0000-0000-000025010000}"/>
    <cellStyle name="Normal 2 2 2" xfId="8" xr:uid="{00000000-0005-0000-0000-000026010000}"/>
    <cellStyle name="Normal 2 2 2 2" xfId="390" xr:uid="{00000000-0005-0000-0000-000027010000}"/>
    <cellStyle name="Normal 2 3" xfId="276" xr:uid="{00000000-0005-0000-0000-000028010000}"/>
    <cellStyle name="Normal 2 3 2" xfId="6" xr:uid="{00000000-0005-0000-0000-000029010000}"/>
    <cellStyle name="Normal 2 3 3" xfId="399" xr:uid="{00000000-0005-0000-0000-00002A010000}"/>
    <cellStyle name="Normal 2 4" xfId="277" xr:uid="{00000000-0005-0000-0000-00002B010000}"/>
    <cellStyle name="Normal 2 5" xfId="278" xr:uid="{00000000-0005-0000-0000-00002C010000}"/>
    <cellStyle name="Normal 2 5 2" xfId="279" xr:uid="{00000000-0005-0000-0000-00002D010000}"/>
    <cellStyle name="Normal 2 6" xfId="280" xr:uid="{00000000-0005-0000-0000-00002E010000}"/>
    <cellStyle name="Normal 2 7" xfId="281" xr:uid="{00000000-0005-0000-0000-00002F010000}"/>
    <cellStyle name="Normal 2_Analisis y presupuesto de adicionales CAP GUERRA" xfId="282" xr:uid="{00000000-0005-0000-0000-000030010000}"/>
    <cellStyle name="Normal 20" xfId="283" xr:uid="{00000000-0005-0000-0000-000031010000}"/>
    <cellStyle name="Normal 20 2" xfId="284" xr:uid="{00000000-0005-0000-0000-000032010000}"/>
    <cellStyle name="Normal 21" xfId="285" xr:uid="{00000000-0005-0000-0000-000033010000}"/>
    <cellStyle name="Normal 22" xfId="286" xr:uid="{00000000-0005-0000-0000-000034010000}"/>
    <cellStyle name="Normal 23" xfId="287" xr:uid="{00000000-0005-0000-0000-000035010000}"/>
    <cellStyle name="Normal 24" xfId="431" xr:uid="{00000000-0005-0000-0000-000036010000}"/>
    <cellStyle name="Normal 29 2" xfId="19" xr:uid="{00000000-0005-0000-0000-000037010000}"/>
    <cellStyle name="Normal 3" xfId="11" xr:uid="{00000000-0005-0000-0000-000038010000}"/>
    <cellStyle name="Normal 3 2" xfId="289" xr:uid="{00000000-0005-0000-0000-000039010000}"/>
    <cellStyle name="Normal 3 3" xfId="7" xr:uid="{00000000-0005-0000-0000-00003A010000}"/>
    <cellStyle name="Normal 3 4" xfId="290" xr:uid="{00000000-0005-0000-0000-00003B010000}"/>
    <cellStyle name="Normal 3 5" xfId="288" xr:uid="{00000000-0005-0000-0000-00003C010000}"/>
    <cellStyle name="Normal 32" xfId="9" xr:uid="{00000000-0005-0000-0000-00003D010000}"/>
    <cellStyle name="Normal 4" xfId="291" xr:uid="{00000000-0005-0000-0000-00003E010000}"/>
    <cellStyle name="Normal 4 10" xfId="292" xr:uid="{00000000-0005-0000-0000-00003F010000}"/>
    <cellStyle name="Normal 4 11" xfId="293" xr:uid="{00000000-0005-0000-0000-000040010000}"/>
    <cellStyle name="Normal 4 12" xfId="294" xr:uid="{00000000-0005-0000-0000-000041010000}"/>
    <cellStyle name="Normal 4 13" xfId="295" xr:uid="{00000000-0005-0000-0000-000042010000}"/>
    <cellStyle name="Normal 4 14" xfId="296" xr:uid="{00000000-0005-0000-0000-000043010000}"/>
    <cellStyle name="Normal 4 15" xfId="297" xr:uid="{00000000-0005-0000-0000-000044010000}"/>
    <cellStyle name="Normal 4 19" xfId="13" xr:uid="{00000000-0005-0000-0000-000045010000}"/>
    <cellStyle name="Normal 4 2" xfId="298" xr:uid="{00000000-0005-0000-0000-000046010000}"/>
    <cellStyle name="Normal 4 3" xfId="299" xr:uid="{00000000-0005-0000-0000-000047010000}"/>
    <cellStyle name="Normal 4 4" xfId="300" xr:uid="{00000000-0005-0000-0000-000048010000}"/>
    <cellStyle name="Normal 4 5" xfId="301" xr:uid="{00000000-0005-0000-0000-000049010000}"/>
    <cellStyle name="Normal 4 6" xfId="302" xr:uid="{00000000-0005-0000-0000-00004A010000}"/>
    <cellStyle name="Normal 4 7" xfId="303" xr:uid="{00000000-0005-0000-0000-00004B010000}"/>
    <cellStyle name="Normal 4 8" xfId="304" xr:uid="{00000000-0005-0000-0000-00004C010000}"/>
    <cellStyle name="Normal 4 9" xfId="305" xr:uid="{00000000-0005-0000-0000-00004D010000}"/>
    <cellStyle name="Normal 4_Rehabilitacion Muelle #05" xfId="306" xr:uid="{00000000-0005-0000-0000-00004E010000}"/>
    <cellStyle name="Normal 5" xfId="307" xr:uid="{00000000-0005-0000-0000-00004F010000}"/>
    <cellStyle name="Normal 5 10" xfId="308" xr:uid="{00000000-0005-0000-0000-000050010000}"/>
    <cellStyle name="Normal 5 11" xfId="309" xr:uid="{00000000-0005-0000-0000-000051010000}"/>
    <cellStyle name="Normal 5 12" xfId="310" xr:uid="{00000000-0005-0000-0000-000052010000}"/>
    <cellStyle name="Normal 5 13" xfId="311" xr:uid="{00000000-0005-0000-0000-000053010000}"/>
    <cellStyle name="Normal 5 14" xfId="312" xr:uid="{00000000-0005-0000-0000-000054010000}"/>
    <cellStyle name="Normal 5 15" xfId="430" xr:uid="{00000000-0005-0000-0000-000055010000}"/>
    <cellStyle name="Normal 5 2" xfId="313" xr:uid="{00000000-0005-0000-0000-000056010000}"/>
    <cellStyle name="Normal 5 3" xfId="314" xr:uid="{00000000-0005-0000-0000-000057010000}"/>
    <cellStyle name="Normal 5 4" xfId="315" xr:uid="{00000000-0005-0000-0000-000058010000}"/>
    <cellStyle name="Normal 5 5" xfId="316" xr:uid="{00000000-0005-0000-0000-000059010000}"/>
    <cellStyle name="Normal 5 6" xfId="317" xr:uid="{00000000-0005-0000-0000-00005A010000}"/>
    <cellStyle name="Normal 5 7" xfId="318" xr:uid="{00000000-0005-0000-0000-00005B010000}"/>
    <cellStyle name="Normal 5 8" xfId="319" xr:uid="{00000000-0005-0000-0000-00005C010000}"/>
    <cellStyle name="Normal 5 9" xfId="320" xr:uid="{00000000-0005-0000-0000-00005D010000}"/>
    <cellStyle name="Normal 5_Rehabilitacion Muelle #05" xfId="321" xr:uid="{00000000-0005-0000-0000-00005E010000}"/>
    <cellStyle name="Normal 51" xfId="20" xr:uid="{00000000-0005-0000-0000-00005F010000}"/>
    <cellStyle name="Normal 6" xfId="322" xr:uid="{00000000-0005-0000-0000-000060010000}"/>
    <cellStyle name="Normal 6 2" xfId="323" xr:uid="{00000000-0005-0000-0000-000061010000}"/>
    <cellStyle name="Normal 6 2 2" xfId="324" xr:uid="{00000000-0005-0000-0000-000062010000}"/>
    <cellStyle name="Normal 7" xfId="325" xr:uid="{00000000-0005-0000-0000-000063010000}"/>
    <cellStyle name="Normal 7 2" xfId="326" xr:uid="{00000000-0005-0000-0000-000064010000}"/>
    <cellStyle name="Normal 8" xfId="327" xr:uid="{00000000-0005-0000-0000-000065010000}"/>
    <cellStyle name="Normal 8 2" xfId="328" xr:uid="{00000000-0005-0000-0000-000066010000}"/>
    <cellStyle name="Normal 9" xfId="329" xr:uid="{00000000-0005-0000-0000-000067010000}"/>
    <cellStyle name="Normal 9 2" xfId="330" xr:uid="{00000000-0005-0000-0000-000068010000}"/>
    <cellStyle name="Normal_Hoja1" xfId="27" xr:uid="{00000000-0005-0000-0000-000069010000}"/>
    <cellStyle name="Normal_Hoja1 2" xfId="331" xr:uid="{00000000-0005-0000-0000-00006A010000}"/>
    <cellStyle name="Notas 2" xfId="332" xr:uid="{00000000-0005-0000-0000-00006B010000}"/>
    <cellStyle name="Notas 2 2" xfId="419" xr:uid="{00000000-0005-0000-0000-00006C010000}"/>
    <cellStyle name="Notas 3" xfId="333" xr:uid="{00000000-0005-0000-0000-00006D010000}"/>
    <cellStyle name="Notas 3 2" xfId="420" xr:uid="{00000000-0005-0000-0000-00006E010000}"/>
    <cellStyle name="Notas 4" xfId="334" xr:uid="{00000000-0005-0000-0000-00006F010000}"/>
    <cellStyle name="Notas 4 2" xfId="421" xr:uid="{00000000-0005-0000-0000-000070010000}"/>
    <cellStyle name="Note" xfId="335" xr:uid="{00000000-0005-0000-0000-000071010000}"/>
    <cellStyle name="Note 2" xfId="422" xr:uid="{00000000-0005-0000-0000-000072010000}"/>
    <cellStyle name="Output" xfId="336" xr:uid="{00000000-0005-0000-0000-000073010000}"/>
    <cellStyle name="Output 2" xfId="423" xr:uid="{00000000-0005-0000-0000-000074010000}"/>
    <cellStyle name="Percent 2" xfId="337" xr:uid="{00000000-0005-0000-0000-000075010000}"/>
    <cellStyle name="Porcentaje" xfId="5" builtinId="5"/>
    <cellStyle name="Porcentaje 2" xfId="338" xr:uid="{00000000-0005-0000-0000-000076010000}"/>
    <cellStyle name="Porcentaje 2 2" xfId="339" xr:uid="{00000000-0005-0000-0000-000077010000}"/>
    <cellStyle name="Porcentaje 2 3" xfId="409" xr:uid="{00000000-0005-0000-0000-000078010000}"/>
    <cellStyle name="Porcentaje 3" xfId="340" xr:uid="{00000000-0005-0000-0000-000079010000}"/>
    <cellStyle name="Porcentaje 3 2" xfId="341" xr:uid="{00000000-0005-0000-0000-00007A010000}"/>
    <cellStyle name="Porcentaje 4" xfId="342" xr:uid="{00000000-0005-0000-0000-00007B010000}"/>
    <cellStyle name="Porcentaje 5" xfId="401" xr:uid="{00000000-0005-0000-0000-00007C010000}"/>
    <cellStyle name="Porcentaje 6" xfId="433" xr:uid="{00000000-0005-0000-0000-00007D010000}"/>
    <cellStyle name="Porcentaje 7" xfId="25" xr:uid="{00000000-0005-0000-0000-00007E010000}"/>
    <cellStyle name="Porcentual 2" xfId="343" xr:uid="{00000000-0005-0000-0000-000080010000}"/>
    <cellStyle name="Porcentual 2 2" xfId="344" xr:uid="{00000000-0005-0000-0000-000081010000}"/>
    <cellStyle name="Porcentual 2 3" xfId="345" xr:uid="{00000000-0005-0000-0000-000082010000}"/>
    <cellStyle name="Porcentual 2 4" xfId="346" xr:uid="{00000000-0005-0000-0000-000083010000}"/>
    <cellStyle name="Porcentual 2 5" xfId="347" xr:uid="{00000000-0005-0000-0000-000084010000}"/>
    <cellStyle name="Porcentual 2 6" xfId="348" xr:uid="{00000000-0005-0000-0000-000085010000}"/>
    <cellStyle name="Porcentual 3" xfId="349" xr:uid="{00000000-0005-0000-0000-000086010000}"/>
    <cellStyle name="Porcentual 3 10" xfId="350" xr:uid="{00000000-0005-0000-0000-000087010000}"/>
    <cellStyle name="Porcentual 3 11" xfId="351" xr:uid="{00000000-0005-0000-0000-000088010000}"/>
    <cellStyle name="Porcentual 3 12" xfId="352" xr:uid="{00000000-0005-0000-0000-000089010000}"/>
    <cellStyle name="Porcentual 3 13" xfId="353" xr:uid="{00000000-0005-0000-0000-00008A010000}"/>
    <cellStyle name="Porcentual 3 14" xfId="354" xr:uid="{00000000-0005-0000-0000-00008B010000}"/>
    <cellStyle name="Porcentual 3 2" xfId="355" xr:uid="{00000000-0005-0000-0000-00008C010000}"/>
    <cellStyle name="Porcentual 3 3" xfId="356" xr:uid="{00000000-0005-0000-0000-00008D010000}"/>
    <cellStyle name="Porcentual 3 4" xfId="357" xr:uid="{00000000-0005-0000-0000-00008E010000}"/>
    <cellStyle name="Porcentual 3 5" xfId="358" xr:uid="{00000000-0005-0000-0000-00008F010000}"/>
    <cellStyle name="Porcentual 3 6" xfId="359" xr:uid="{00000000-0005-0000-0000-000090010000}"/>
    <cellStyle name="Porcentual 3 7" xfId="360" xr:uid="{00000000-0005-0000-0000-000091010000}"/>
    <cellStyle name="Porcentual 3 8" xfId="361" xr:uid="{00000000-0005-0000-0000-000092010000}"/>
    <cellStyle name="Porcentual 3 9" xfId="362" xr:uid="{00000000-0005-0000-0000-000093010000}"/>
    <cellStyle name="Salida 2" xfId="363" xr:uid="{00000000-0005-0000-0000-000094010000}"/>
    <cellStyle name="Salida 2 2" xfId="424" xr:uid="{00000000-0005-0000-0000-000095010000}"/>
    <cellStyle name="Salida 3" xfId="364" xr:uid="{00000000-0005-0000-0000-000096010000}"/>
    <cellStyle name="Salida 3 2" xfId="425" xr:uid="{00000000-0005-0000-0000-000097010000}"/>
    <cellStyle name="Salida 4" xfId="365" xr:uid="{00000000-0005-0000-0000-000098010000}"/>
    <cellStyle name="Salida 4 2" xfId="426" xr:uid="{00000000-0005-0000-0000-000099010000}"/>
    <cellStyle name="Sheet Title" xfId="366" xr:uid="{00000000-0005-0000-0000-00009A010000}"/>
    <cellStyle name="Texto de advertencia 2" xfId="367" xr:uid="{00000000-0005-0000-0000-00009B010000}"/>
    <cellStyle name="Texto de advertencia 3" xfId="368" xr:uid="{00000000-0005-0000-0000-00009C010000}"/>
    <cellStyle name="Texto de advertencia 4" xfId="369" xr:uid="{00000000-0005-0000-0000-00009D010000}"/>
    <cellStyle name="Texto explicativo 2" xfId="370" xr:uid="{00000000-0005-0000-0000-00009E010000}"/>
    <cellStyle name="Texto explicativo 3" xfId="371" xr:uid="{00000000-0005-0000-0000-00009F010000}"/>
    <cellStyle name="Texto explicativo 4" xfId="372" xr:uid="{00000000-0005-0000-0000-0000A0010000}"/>
    <cellStyle name="Title" xfId="373" xr:uid="{00000000-0005-0000-0000-0000A1010000}"/>
    <cellStyle name="Título 1 2" xfId="374" xr:uid="{00000000-0005-0000-0000-0000A2010000}"/>
    <cellStyle name="Título 1 3" xfId="375" xr:uid="{00000000-0005-0000-0000-0000A3010000}"/>
    <cellStyle name="Título 1 4" xfId="376" xr:uid="{00000000-0005-0000-0000-0000A4010000}"/>
    <cellStyle name="Título 2 2" xfId="377" xr:uid="{00000000-0005-0000-0000-0000A5010000}"/>
    <cellStyle name="Título 2 3" xfId="378" xr:uid="{00000000-0005-0000-0000-0000A6010000}"/>
    <cellStyle name="Título 2 4" xfId="379" xr:uid="{00000000-0005-0000-0000-0000A7010000}"/>
    <cellStyle name="Título 3 2" xfId="380" xr:uid="{00000000-0005-0000-0000-0000A8010000}"/>
    <cellStyle name="Título 3 3" xfId="381" xr:uid="{00000000-0005-0000-0000-0000A9010000}"/>
    <cellStyle name="Título 3 4" xfId="382" xr:uid="{00000000-0005-0000-0000-0000AA010000}"/>
    <cellStyle name="Título 4" xfId="383" xr:uid="{00000000-0005-0000-0000-0000AB010000}"/>
    <cellStyle name="Título 5" xfId="384" xr:uid="{00000000-0005-0000-0000-0000AC010000}"/>
    <cellStyle name="Título 6" xfId="385" xr:uid="{00000000-0005-0000-0000-0000AD010000}"/>
    <cellStyle name="Total 2" xfId="386" xr:uid="{00000000-0005-0000-0000-0000AE010000}"/>
    <cellStyle name="Total 2 2" xfId="427" xr:uid="{00000000-0005-0000-0000-0000AF010000}"/>
    <cellStyle name="Total 3" xfId="387" xr:uid="{00000000-0005-0000-0000-0000B0010000}"/>
    <cellStyle name="Total 3 2" xfId="428" xr:uid="{00000000-0005-0000-0000-0000B1010000}"/>
    <cellStyle name="Total 4" xfId="388" xr:uid="{00000000-0005-0000-0000-0000B2010000}"/>
    <cellStyle name="Total 4 2" xfId="429" xr:uid="{00000000-0005-0000-0000-0000B3010000}"/>
    <cellStyle name="Warning Text" xfId="389" xr:uid="{00000000-0005-0000-0000-0000B4010000}"/>
  </cellStyles>
  <dxfs count="8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3798795</xdr:colOff>
      <xdr:row>3</xdr:row>
      <xdr:rowOff>67236</xdr:rowOff>
    </xdr:from>
    <xdr:to>
      <xdr:col>3</xdr:col>
      <xdr:colOff>68917</xdr:colOff>
      <xdr:row>8</xdr:row>
      <xdr:rowOff>48185</xdr:rowOff>
    </xdr:to>
    <xdr:pic>
      <xdr:nvPicPr>
        <xdr:cNvPr id="8" name="Imagen 7" descr="Archivo General de la Nación | AGN - Inici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7883" y="705971"/>
          <a:ext cx="1962710" cy="1067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</xdr:row>
      <xdr:rowOff>172603</xdr:rowOff>
    </xdr:from>
    <xdr:to>
      <xdr:col>5</xdr:col>
      <xdr:colOff>333375</xdr:colOff>
      <xdr:row>9</xdr:row>
      <xdr:rowOff>58270</xdr:rowOff>
    </xdr:to>
    <xdr:pic>
      <xdr:nvPicPr>
        <xdr:cNvPr id="4" name="Imagen 3" descr="Archivo General de la Nación | AGN - Inici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3103"/>
          <a:ext cx="2590800" cy="140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ntes104\Documents%20and%20Settings\patria.peguero\My%20Documents\My%20Received%20Files\LOTE%2071-ESCUELA%20HIVE%20PRESUPUESTOS%20Y%20ANALISIS%20DEL%201%20AL%204%20ES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1"/>
      <sheetName val="PRESUPUESTO 2"/>
      <sheetName val="PRESUPUESTO 3"/>
      <sheetName val="PRESUPUESTO 4"/>
      <sheetName val="ANALISIS DE COSTO"/>
      <sheetName val="MATERIALES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53">
          <cell r="F1553">
            <v>8918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DF321"/>
  <sheetViews>
    <sheetView tabSelected="1" view="pageBreakPreview" zoomScaleNormal="85" zoomScaleSheetLayoutView="100" workbookViewId="0">
      <selection activeCell="E117" sqref="E117"/>
    </sheetView>
  </sheetViews>
  <sheetFormatPr baseColWidth="10" defaultColWidth="11.44140625" defaultRowHeight="13.8"/>
  <cols>
    <col min="1" max="1" width="20.109375" style="21" bestFit="1" customWidth="1"/>
    <col min="2" max="2" width="69.5546875" style="17" customWidth="1"/>
    <col min="3" max="3" width="15.6640625" style="20" customWidth="1"/>
    <col min="4" max="4" width="11" style="11" customWidth="1"/>
    <col min="5" max="5" width="24.6640625" style="19" bestFit="1" customWidth="1"/>
    <col min="6" max="6" width="16.5546875" style="19" customWidth="1"/>
    <col min="7" max="7" width="22" style="8" customWidth="1"/>
    <col min="8" max="8" width="9.5546875" style="3" bestFit="1" customWidth="1"/>
    <col min="9" max="47" width="5" style="3" customWidth="1"/>
    <col min="48" max="48" width="2" style="3" customWidth="1"/>
    <col min="49" max="49" width="4" style="3" customWidth="1"/>
    <col min="50" max="16384" width="11.44140625" style="3"/>
  </cols>
  <sheetData>
    <row r="1" spans="1:48" ht="16.5" customHeight="1">
      <c r="A1" s="3"/>
      <c r="B1" s="3"/>
      <c r="C1" s="3"/>
      <c r="D1" s="3"/>
      <c r="E1" s="3"/>
      <c r="F1" s="3"/>
      <c r="G1" s="3"/>
    </row>
    <row r="2" spans="1:48" ht="16.5" customHeight="1" thickBot="1">
      <c r="A2" s="3"/>
      <c r="B2" s="3"/>
      <c r="C2" s="3"/>
      <c r="D2" s="3"/>
      <c r="E2" s="3"/>
      <c r="F2" s="3"/>
      <c r="G2" s="3"/>
    </row>
    <row r="3" spans="1:48" ht="16.5" customHeight="1">
      <c r="A3" s="4"/>
      <c r="B3" s="5"/>
      <c r="C3" s="5"/>
      <c r="D3" s="5"/>
      <c r="E3" s="5"/>
      <c r="F3" s="5"/>
      <c r="G3" s="6"/>
    </row>
    <row r="4" spans="1:48" ht="16.5" customHeight="1">
      <c r="A4" s="7"/>
      <c r="B4" s="3"/>
      <c r="C4" s="3"/>
      <c r="D4" s="3"/>
      <c r="E4" s="3"/>
      <c r="F4" s="3"/>
    </row>
    <row r="5" spans="1:48" ht="16.5" customHeight="1">
      <c r="A5" s="7"/>
      <c r="B5" s="3"/>
      <c r="C5" s="3"/>
      <c r="D5" s="3"/>
      <c r="E5" s="3"/>
      <c r="F5" s="3"/>
    </row>
    <row r="6" spans="1:48" ht="16.5" customHeight="1">
      <c r="A6" s="7"/>
      <c r="B6" s="3"/>
      <c r="C6" s="3"/>
      <c r="D6" s="3"/>
      <c r="E6" s="3"/>
      <c r="F6" s="3"/>
    </row>
    <row r="7" spans="1:48" ht="17.25" customHeight="1">
      <c r="A7" s="7"/>
      <c r="B7" s="3"/>
      <c r="C7"/>
      <c r="D7"/>
      <c r="E7" s="3"/>
      <c r="F7" s="3"/>
    </row>
    <row r="8" spans="1:48" ht="17.25" customHeight="1">
      <c r="A8" s="7"/>
      <c r="B8" s="3"/>
      <c r="C8" s="3"/>
      <c r="D8" s="3"/>
      <c r="E8" s="3"/>
      <c r="F8" s="3"/>
    </row>
    <row r="9" spans="1:48" ht="17.25" customHeight="1">
      <c r="A9" s="7"/>
      <c r="B9" s="3"/>
      <c r="C9" s="3"/>
      <c r="D9" s="3"/>
      <c r="E9" s="3"/>
      <c r="F9" s="3"/>
    </row>
    <row r="10" spans="1:48" ht="17.25" customHeight="1">
      <c r="A10" s="242" t="s">
        <v>61</v>
      </c>
      <c r="B10" s="243"/>
      <c r="C10" s="243"/>
      <c r="D10" s="243"/>
      <c r="E10" s="243"/>
      <c r="F10" s="243"/>
      <c r="G10" s="244"/>
    </row>
    <row r="11" spans="1:48" ht="17.25" customHeight="1">
      <c r="A11" s="245"/>
      <c r="B11" s="246"/>
      <c r="C11" s="246"/>
      <c r="D11" s="246"/>
      <c r="E11" s="246"/>
      <c r="F11" s="246"/>
      <c r="G11" s="247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8" ht="15.75" customHeight="1">
      <c r="A12" s="10"/>
      <c r="B12" s="158"/>
      <c r="C12" s="248"/>
      <c r="D12" s="248"/>
      <c r="E12" s="248"/>
      <c r="F12" s="248"/>
      <c r="G12" s="24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8" ht="15.75" customHeight="1">
      <c r="A13" s="159" t="s">
        <v>109</v>
      </c>
      <c r="B13" s="160" t="s">
        <v>165</v>
      </c>
      <c r="C13" s="161"/>
      <c r="D13" s="161"/>
      <c r="E13" s="233"/>
      <c r="F13" s="233"/>
      <c r="G13" s="234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8" ht="15.75" customHeight="1">
      <c r="A14" s="159" t="s">
        <v>104</v>
      </c>
      <c r="B14" s="160" t="s">
        <v>105</v>
      </c>
      <c r="C14" s="161"/>
      <c r="D14" s="161"/>
      <c r="E14" s="237" t="s">
        <v>106</v>
      </c>
      <c r="F14" s="237"/>
      <c r="G14" s="162" t="s">
        <v>235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8" ht="15.75" customHeight="1">
      <c r="A15" s="159" t="s">
        <v>107</v>
      </c>
      <c r="B15" s="160" t="s">
        <v>108</v>
      </c>
      <c r="C15" s="161"/>
      <c r="D15" s="161"/>
      <c r="E15" s="235"/>
      <c r="F15" s="235"/>
      <c r="G15" s="236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8" ht="15.75" customHeight="1" thickBot="1">
      <c r="A16" s="36"/>
      <c r="B16" s="37"/>
      <c r="C16" s="250"/>
      <c r="D16" s="250"/>
      <c r="E16" s="250"/>
      <c r="F16" s="143"/>
      <c r="G16" s="38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7" s="128" customFormat="1" ht="18" thickBot="1">
      <c r="A17" s="127" t="s">
        <v>110</v>
      </c>
      <c r="B17" s="127" t="s">
        <v>111</v>
      </c>
      <c r="C17" s="127" t="s">
        <v>5</v>
      </c>
      <c r="D17" s="127" t="s">
        <v>4</v>
      </c>
      <c r="E17" s="127" t="s">
        <v>112</v>
      </c>
      <c r="F17" s="127" t="s">
        <v>113</v>
      </c>
      <c r="G17" s="126" t="s">
        <v>114</v>
      </c>
    </row>
    <row r="18" spans="1:47" ht="16.5" customHeight="1">
      <c r="A18" s="163">
        <v>1</v>
      </c>
      <c r="B18" s="164" t="s">
        <v>6</v>
      </c>
      <c r="C18" s="110"/>
      <c r="D18" s="111"/>
      <c r="E18" s="112"/>
      <c r="F18" s="112"/>
      <c r="G18" s="165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</row>
    <row r="19" spans="1:47" s="12" customFormat="1" ht="15">
      <c r="A19" s="166">
        <f>0.01+A18</f>
        <v>1.01</v>
      </c>
      <c r="B19" s="42" t="s">
        <v>7</v>
      </c>
      <c r="C19" s="43">
        <v>3</v>
      </c>
      <c r="D19" s="44" t="s">
        <v>8</v>
      </c>
      <c r="E19" s="45">
        <f>APU!F16</f>
        <v>0</v>
      </c>
      <c r="F19" s="45">
        <f>+E19*C19</f>
        <v>0</v>
      </c>
      <c r="G19" s="167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</row>
    <row r="20" spans="1:47" s="12" customFormat="1" ht="15">
      <c r="A20" s="166">
        <f t="shared" ref="A20:A31" si="0">0.01+A19</f>
        <v>1.02</v>
      </c>
      <c r="B20" s="42" t="s">
        <v>197</v>
      </c>
      <c r="C20" s="43">
        <v>47.72</v>
      </c>
      <c r="D20" s="44" t="s">
        <v>9</v>
      </c>
      <c r="E20" s="45">
        <f>APU!F27</f>
        <v>0</v>
      </c>
      <c r="F20" s="45">
        <f t="shared" ref="F20:F51" si="1">+E20*C20</f>
        <v>0</v>
      </c>
      <c r="G20" s="167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</row>
    <row r="21" spans="1:47" s="12" customFormat="1" ht="15">
      <c r="A21" s="166">
        <f t="shared" si="0"/>
        <v>1.03</v>
      </c>
      <c r="B21" s="42" t="s">
        <v>170</v>
      </c>
      <c r="C21" s="43">
        <f>+C34</f>
        <v>47.09</v>
      </c>
      <c r="D21" s="44" t="s">
        <v>9</v>
      </c>
      <c r="E21" s="45"/>
      <c r="F21" s="45">
        <f t="shared" si="1"/>
        <v>0</v>
      </c>
      <c r="G21" s="167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</row>
    <row r="22" spans="1:47" s="12" customFormat="1" ht="18" customHeight="1">
      <c r="A22" s="166">
        <f t="shared" si="0"/>
        <v>1.04</v>
      </c>
      <c r="B22" s="42" t="s">
        <v>177</v>
      </c>
      <c r="C22" s="43">
        <v>3</v>
      </c>
      <c r="D22" s="44" t="s">
        <v>8</v>
      </c>
      <c r="E22" s="45">
        <f>+APU!F32</f>
        <v>0</v>
      </c>
      <c r="F22" s="45">
        <f t="shared" ref="F22" si="2">+E22*C22</f>
        <v>0</v>
      </c>
      <c r="G22" s="167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</row>
    <row r="23" spans="1:47" s="12" customFormat="1" ht="18" customHeight="1">
      <c r="A23" s="166">
        <f t="shared" si="0"/>
        <v>1.05</v>
      </c>
      <c r="B23" s="46" t="s">
        <v>31</v>
      </c>
      <c r="C23" s="47">
        <v>10</v>
      </c>
      <c r="D23" s="44" t="s">
        <v>8</v>
      </c>
      <c r="E23" s="45">
        <f>+APU!F75</f>
        <v>0</v>
      </c>
      <c r="F23" s="45">
        <f>+E23*C23</f>
        <v>0</v>
      </c>
      <c r="G23" s="167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</row>
    <row r="24" spans="1:47" s="12" customFormat="1" ht="30" customHeight="1">
      <c r="A24" s="166">
        <f t="shared" si="0"/>
        <v>1.06</v>
      </c>
      <c r="B24" s="215" t="s">
        <v>208</v>
      </c>
      <c r="C24" s="216">
        <v>1</v>
      </c>
      <c r="D24" s="217" t="s">
        <v>73</v>
      </c>
      <c r="E24" s="109"/>
      <c r="F24" s="45">
        <f t="shared" ref="F24:F27" si="3">+E24*C24</f>
        <v>0</v>
      </c>
      <c r="G24" s="167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</row>
    <row r="25" spans="1:47" s="12" customFormat="1" ht="32.4" customHeight="1">
      <c r="A25" s="166">
        <f t="shared" si="0"/>
        <v>1.07</v>
      </c>
      <c r="B25" s="215" t="s">
        <v>207</v>
      </c>
      <c r="C25" s="216">
        <v>1</v>
      </c>
      <c r="D25" s="217" t="s">
        <v>73</v>
      </c>
      <c r="E25" s="109"/>
      <c r="F25" s="45">
        <f t="shared" si="3"/>
        <v>0</v>
      </c>
      <c r="G25" s="167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</row>
    <row r="26" spans="1:47" s="12" customFormat="1" ht="18" customHeight="1">
      <c r="A26" s="166">
        <f t="shared" si="0"/>
        <v>1.08</v>
      </c>
      <c r="B26" s="215" t="s">
        <v>210</v>
      </c>
      <c r="C26" s="216">
        <v>1</v>
      </c>
      <c r="D26" s="217" t="s">
        <v>73</v>
      </c>
      <c r="E26" s="109"/>
      <c r="F26" s="109">
        <f t="shared" si="3"/>
        <v>0</v>
      </c>
      <c r="G26" s="167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</row>
    <row r="27" spans="1:47" s="12" customFormat="1" ht="18" customHeight="1">
      <c r="A27" s="166">
        <f t="shared" si="0"/>
        <v>1.0900000000000001</v>
      </c>
      <c r="B27" s="215" t="s">
        <v>211</v>
      </c>
      <c r="C27" s="216">
        <f>4.16*2*1</f>
        <v>8.32</v>
      </c>
      <c r="D27" s="217" t="s">
        <v>66</v>
      </c>
      <c r="E27" s="109"/>
      <c r="F27" s="109">
        <f t="shared" si="3"/>
        <v>0</v>
      </c>
      <c r="G27" s="167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</row>
    <row r="28" spans="1:47" s="12" customFormat="1" ht="16.95" customHeight="1">
      <c r="A28" s="166">
        <f t="shared" si="0"/>
        <v>1.1000000000000001</v>
      </c>
      <c r="B28" s="42" t="s">
        <v>236</v>
      </c>
      <c r="C28" s="43">
        <v>1</v>
      </c>
      <c r="D28" s="44" t="s">
        <v>73</v>
      </c>
      <c r="E28" s="45"/>
      <c r="F28" s="45">
        <f>+E28*C28</f>
        <v>0</v>
      </c>
      <c r="G28" s="167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</row>
    <row r="29" spans="1:47" s="12" customFormat="1" ht="18" customHeight="1">
      <c r="A29" s="166">
        <f t="shared" si="0"/>
        <v>1.1100000000000001</v>
      </c>
      <c r="B29" s="220" t="s">
        <v>237</v>
      </c>
      <c r="C29" s="225">
        <v>1</v>
      </c>
      <c r="D29" s="217" t="s">
        <v>73</v>
      </c>
      <c r="E29" s="109"/>
      <c r="F29" s="109">
        <f>+E29*C29</f>
        <v>0</v>
      </c>
      <c r="G29" s="167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</row>
    <row r="30" spans="1:47" s="12" customFormat="1" ht="35.4" customHeight="1">
      <c r="A30" s="166">
        <f t="shared" si="0"/>
        <v>1.1200000000000001</v>
      </c>
      <c r="B30" s="42" t="s">
        <v>178</v>
      </c>
      <c r="C30" s="43">
        <f>30+1.4*8.32</f>
        <v>41.647999999999996</v>
      </c>
      <c r="D30" s="44" t="s">
        <v>66</v>
      </c>
      <c r="E30" s="45">
        <f>APU!F56</f>
        <v>0</v>
      </c>
      <c r="F30" s="45">
        <f>+E30*C30</f>
        <v>0</v>
      </c>
      <c r="G30" s="167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</row>
    <row r="31" spans="1:47" s="12" customFormat="1" ht="22.2" customHeight="1">
      <c r="A31" s="166">
        <f t="shared" si="0"/>
        <v>1.1300000000000001</v>
      </c>
      <c r="B31" s="219" t="s">
        <v>11</v>
      </c>
      <c r="C31" s="47">
        <v>7</v>
      </c>
      <c r="D31" s="44" t="s">
        <v>238</v>
      </c>
      <c r="E31" s="45"/>
      <c r="F31" s="45">
        <f t="shared" ref="F31" si="4">+E31*C31</f>
        <v>0</v>
      </c>
      <c r="G31" s="168">
        <f>SUM(F19:F31)</f>
        <v>0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</row>
    <row r="32" spans="1:47" s="12" customFormat="1" ht="15">
      <c r="A32" s="166"/>
      <c r="B32" s="46"/>
      <c r="C32" s="47"/>
      <c r="D32" s="44"/>
      <c r="E32" s="45"/>
      <c r="F32" s="45"/>
      <c r="G32" s="168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</row>
    <row r="33" spans="1:47" s="14" customFormat="1" ht="16.5" customHeight="1">
      <c r="A33" s="163">
        <f>1+A18</f>
        <v>2</v>
      </c>
      <c r="B33" s="39" t="s">
        <v>92</v>
      </c>
      <c r="C33" s="40"/>
      <c r="D33" s="41"/>
      <c r="E33" s="148"/>
      <c r="F33" s="148"/>
      <c r="G33" s="16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2" customFormat="1" ht="15">
      <c r="A34" s="166">
        <f>+A33+0.01</f>
        <v>2.0099999999999998</v>
      </c>
      <c r="B34" s="46" t="s">
        <v>179</v>
      </c>
      <c r="C34" s="47">
        <v>47.09</v>
      </c>
      <c r="D34" s="44" t="s">
        <v>9</v>
      </c>
      <c r="E34" s="45"/>
      <c r="F34" s="45">
        <f>ROUND(C34*E34,2)</f>
        <v>0</v>
      </c>
      <c r="G34" s="168">
        <f>+F34</f>
        <v>0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</row>
    <row r="35" spans="1:47" s="12" customFormat="1" ht="15">
      <c r="A35" s="166"/>
      <c r="B35" s="46"/>
      <c r="C35" s="47"/>
      <c r="D35" s="44"/>
      <c r="E35" s="45"/>
      <c r="F35" s="45"/>
      <c r="G35" s="168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</row>
    <row r="36" spans="1:47" s="14" customFormat="1" ht="16.5" customHeight="1">
      <c r="A36" s="163">
        <v>3</v>
      </c>
      <c r="B36" s="39" t="s">
        <v>167</v>
      </c>
      <c r="C36" s="40"/>
      <c r="D36" s="41"/>
      <c r="E36" s="148"/>
      <c r="F36" s="148"/>
      <c r="G36" s="16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customFormat="1" ht="45">
      <c r="A37" s="166">
        <f>+A36+0.01</f>
        <v>3.01</v>
      </c>
      <c r="B37" s="46" t="s">
        <v>209</v>
      </c>
      <c r="C37" s="47">
        <v>2</v>
      </c>
      <c r="D37" s="44" t="s">
        <v>8</v>
      </c>
      <c r="E37" s="45"/>
      <c r="F37" s="45">
        <f t="shared" ref="F37" si="5">+E37*C37</f>
        <v>0</v>
      </c>
      <c r="G37" s="168">
        <f>SUM(F37:F37)</f>
        <v>0</v>
      </c>
    </row>
    <row r="38" spans="1:47" s="12" customFormat="1" ht="19.5" customHeight="1">
      <c r="A38" s="166"/>
      <c r="B38" s="49"/>
      <c r="C38" s="50"/>
      <c r="D38" s="50"/>
      <c r="E38" s="149"/>
      <c r="F38" s="150"/>
      <c r="G38" s="167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</row>
    <row r="39" spans="1:47" s="14" customFormat="1" ht="16.5" customHeight="1">
      <c r="A39" s="163">
        <v>4</v>
      </c>
      <c r="B39" s="39" t="s">
        <v>30</v>
      </c>
      <c r="C39" s="40"/>
      <c r="D39" s="41"/>
      <c r="E39" s="148"/>
      <c r="F39" s="148"/>
      <c r="G39" s="16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customFormat="1" ht="30">
      <c r="A40" s="166">
        <f>+A39+0.01</f>
        <v>4.01</v>
      </c>
      <c r="B40" s="46" t="s">
        <v>168</v>
      </c>
      <c r="C40" s="47">
        <v>1</v>
      </c>
      <c r="D40" s="44" t="s">
        <v>8</v>
      </c>
      <c r="E40" s="45"/>
      <c r="F40" s="45">
        <f t="shared" si="1"/>
        <v>0</v>
      </c>
      <c r="G40" s="168"/>
    </row>
    <row r="41" spans="1:47" customFormat="1" ht="15">
      <c r="A41" s="166">
        <f>+A40+0.01</f>
        <v>4.0199999999999996</v>
      </c>
      <c r="B41" s="46" t="s">
        <v>28</v>
      </c>
      <c r="C41" s="47">
        <v>57.35</v>
      </c>
      <c r="D41" s="44" t="s">
        <v>9</v>
      </c>
      <c r="E41" s="45"/>
      <c r="F41" s="45">
        <f t="shared" si="1"/>
        <v>0</v>
      </c>
      <c r="G41" s="168"/>
    </row>
    <row r="42" spans="1:47" customFormat="1" ht="15">
      <c r="A42" s="166">
        <f>+A41+0.01</f>
        <v>4.0299999999999994</v>
      </c>
      <c r="B42" s="215" t="s">
        <v>198</v>
      </c>
      <c r="C42" s="216">
        <v>10.69</v>
      </c>
      <c r="D42" s="217" t="s">
        <v>9</v>
      </c>
      <c r="E42" s="109"/>
      <c r="F42" s="45">
        <f t="shared" si="1"/>
        <v>0</v>
      </c>
      <c r="G42" s="168"/>
    </row>
    <row r="43" spans="1:47" customFormat="1" ht="15">
      <c r="A43" s="166">
        <f t="shared" ref="A43:A49" si="6">+A42+0.01</f>
        <v>4.0399999999999991</v>
      </c>
      <c r="B43" s="215" t="s">
        <v>200</v>
      </c>
      <c r="C43" s="216">
        <v>1</v>
      </c>
      <c r="D43" s="217" t="s">
        <v>73</v>
      </c>
      <c r="E43" s="109"/>
      <c r="F43" s="45">
        <f t="shared" si="1"/>
        <v>0</v>
      </c>
      <c r="G43" s="168"/>
    </row>
    <row r="44" spans="1:47" customFormat="1" ht="15">
      <c r="A44" s="166">
        <f t="shared" si="6"/>
        <v>4.0499999999999989</v>
      </c>
      <c r="B44" s="215" t="s">
        <v>199</v>
      </c>
      <c r="C44" s="216">
        <v>0.37</v>
      </c>
      <c r="D44" s="217" t="s">
        <v>66</v>
      </c>
      <c r="E44" s="109"/>
      <c r="F44" s="45">
        <f t="shared" si="1"/>
        <v>0</v>
      </c>
      <c r="G44" s="168"/>
    </row>
    <row r="45" spans="1:47" customFormat="1" ht="30">
      <c r="A45" s="166">
        <f t="shared" si="6"/>
        <v>4.0599999999999987</v>
      </c>
      <c r="B45" s="215" t="s">
        <v>204</v>
      </c>
      <c r="C45" s="216">
        <v>1</v>
      </c>
      <c r="D45" s="217" t="s">
        <v>8</v>
      </c>
      <c r="E45" s="109"/>
      <c r="F45" s="45">
        <f t="shared" si="1"/>
        <v>0</v>
      </c>
      <c r="G45" s="168"/>
    </row>
    <row r="46" spans="1:47" customFormat="1" ht="28.8">
      <c r="A46" s="166">
        <f t="shared" si="6"/>
        <v>4.0699999999999985</v>
      </c>
      <c r="B46" s="46" t="s">
        <v>201</v>
      </c>
      <c r="C46" s="47">
        <v>3</v>
      </c>
      <c r="D46" s="44" t="s">
        <v>8</v>
      </c>
      <c r="E46" s="45"/>
      <c r="F46" s="45">
        <f t="shared" si="1"/>
        <v>0</v>
      </c>
      <c r="G46" s="168"/>
    </row>
    <row r="47" spans="1:47" customFormat="1" ht="15">
      <c r="A47" s="166">
        <f t="shared" si="6"/>
        <v>4.0799999999999983</v>
      </c>
      <c r="B47" s="215" t="s">
        <v>202</v>
      </c>
      <c r="C47" s="216">
        <f>2*10.69+3*0.6*1.7</f>
        <v>24.439999999999998</v>
      </c>
      <c r="D47" s="217" t="s">
        <v>9</v>
      </c>
      <c r="E47" s="109"/>
      <c r="F47" s="45">
        <f t="shared" si="1"/>
        <v>0</v>
      </c>
      <c r="G47" s="168"/>
    </row>
    <row r="48" spans="1:47" customFormat="1" ht="15">
      <c r="A48" s="166">
        <f t="shared" si="6"/>
        <v>4.0899999999999981</v>
      </c>
      <c r="B48" s="215" t="s">
        <v>203</v>
      </c>
      <c r="C48" s="216">
        <f>3*2*1+2.6</f>
        <v>8.6</v>
      </c>
      <c r="D48" s="217" t="s">
        <v>182</v>
      </c>
      <c r="E48" s="109"/>
      <c r="F48" s="45">
        <f t="shared" si="1"/>
        <v>0</v>
      </c>
      <c r="G48" s="168"/>
    </row>
    <row r="49" spans="1:47" customFormat="1" ht="30">
      <c r="A49" s="166">
        <f t="shared" si="6"/>
        <v>4.0999999999999979</v>
      </c>
      <c r="B49" s="42" t="s">
        <v>206</v>
      </c>
      <c r="C49" s="216">
        <f>1.5*24.44</f>
        <v>36.660000000000004</v>
      </c>
      <c r="D49" s="217" t="s">
        <v>9</v>
      </c>
      <c r="E49" s="218"/>
      <c r="F49" s="45">
        <f t="shared" si="1"/>
        <v>0</v>
      </c>
      <c r="G49" s="168">
        <f>SUM(F40:F49)</f>
        <v>0</v>
      </c>
    </row>
    <row r="50" spans="1:47" ht="16.5" customHeight="1">
      <c r="A50" s="163">
        <v>6</v>
      </c>
      <c r="B50" s="51" t="s">
        <v>22</v>
      </c>
      <c r="C50" s="40"/>
      <c r="D50" s="41"/>
      <c r="E50" s="151"/>
      <c r="F50" s="148"/>
      <c r="G50" s="165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</row>
    <row r="51" spans="1:47" s="12" customFormat="1" ht="15">
      <c r="A51" s="166">
        <f>0.01+A50</f>
        <v>6.01</v>
      </c>
      <c r="B51" s="42" t="s">
        <v>205</v>
      </c>
      <c r="C51" s="48">
        <f>+'MEMORIA CALCULO'!C67</f>
        <v>0</v>
      </c>
      <c r="D51" s="44" t="s">
        <v>9</v>
      </c>
      <c r="E51" s="152"/>
      <c r="F51" s="45">
        <f t="shared" si="1"/>
        <v>0</v>
      </c>
      <c r="G51" s="168">
        <f>SUM(F51:F51)</f>
        <v>0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</row>
    <row r="52" spans="1:47" s="16" customFormat="1" ht="15">
      <c r="A52" s="166"/>
      <c r="B52" s="42"/>
      <c r="C52" s="43"/>
      <c r="D52" s="44"/>
      <c r="E52" s="45"/>
      <c r="F52" s="45"/>
      <c r="G52" s="167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</row>
    <row r="53" spans="1:47" ht="16.5" customHeight="1">
      <c r="A53" s="163">
        <f>1+A50</f>
        <v>7</v>
      </c>
      <c r="B53" s="51" t="s">
        <v>68</v>
      </c>
      <c r="C53" s="40"/>
      <c r="D53" s="41"/>
      <c r="E53" s="148"/>
      <c r="F53" s="148"/>
      <c r="G53" s="165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</row>
    <row r="54" spans="1:47" s="12" customFormat="1" ht="15">
      <c r="A54" s="166">
        <f>0.01+A53</f>
        <v>7.01</v>
      </c>
      <c r="B54" s="42" t="s">
        <v>69</v>
      </c>
      <c r="C54" s="43">
        <v>4</v>
      </c>
      <c r="D54" s="44" t="s">
        <v>8</v>
      </c>
      <c r="E54" s="109"/>
      <c r="F54" s="45">
        <f t="shared" ref="F54:F56" si="7">+E54*C54</f>
        <v>0</v>
      </c>
      <c r="G54" s="167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</row>
    <row r="55" spans="1:47" s="12" customFormat="1" ht="15">
      <c r="A55" s="166">
        <f>0.01+A54</f>
        <v>7.02</v>
      </c>
      <c r="B55" s="42" t="s">
        <v>70</v>
      </c>
      <c r="C55" s="43">
        <v>2</v>
      </c>
      <c r="D55" s="44" t="s">
        <v>8</v>
      </c>
      <c r="E55" s="109"/>
      <c r="F55" s="45">
        <f t="shared" si="7"/>
        <v>0</v>
      </c>
      <c r="G55" s="167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</row>
    <row r="56" spans="1:47" s="12" customFormat="1" ht="15">
      <c r="A56" s="166">
        <f t="shared" ref="A56:A59" si="8">0.01+A55</f>
        <v>7.0299999999999994</v>
      </c>
      <c r="B56" s="42" t="s">
        <v>71</v>
      </c>
      <c r="C56" s="43">
        <v>16</v>
      </c>
      <c r="D56" s="44" t="s">
        <v>8</v>
      </c>
      <c r="E56" s="109"/>
      <c r="F56" s="45">
        <f t="shared" si="7"/>
        <v>0</v>
      </c>
      <c r="G56" s="167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</row>
    <row r="57" spans="1:47" s="12" customFormat="1" ht="45">
      <c r="A57" s="166">
        <f t="shared" si="8"/>
        <v>7.0399999999999991</v>
      </c>
      <c r="B57" s="42" t="s">
        <v>149</v>
      </c>
      <c r="C57" s="43">
        <v>34</v>
      </c>
      <c r="D57" s="44" t="s">
        <v>8</v>
      </c>
      <c r="E57" s="109"/>
      <c r="F57" s="45">
        <f t="shared" ref="F57:F59" si="9">C57*E57</f>
        <v>0</v>
      </c>
      <c r="G57" s="167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</row>
    <row r="58" spans="1:47" s="12" customFormat="1" ht="30">
      <c r="A58" s="166">
        <f t="shared" si="8"/>
        <v>7.0499999999999989</v>
      </c>
      <c r="B58" s="42" t="s">
        <v>150</v>
      </c>
      <c r="C58" s="43">
        <v>1</v>
      </c>
      <c r="D58" s="44" t="s">
        <v>8</v>
      </c>
      <c r="E58" s="45"/>
      <c r="F58" s="45">
        <f t="shared" si="9"/>
        <v>0</v>
      </c>
      <c r="G58" s="167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</row>
    <row r="59" spans="1:47" s="12" customFormat="1" ht="45">
      <c r="A59" s="166">
        <f t="shared" si="8"/>
        <v>7.0599999999999987</v>
      </c>
      <c r="B59" s="42" t="s">
        <v>72</v>
      </c>
      <c r="C59" s="43">
        <v>1</v>
      </c>
      <c r="D59" s="44" t="s">
        <v>73</v>
      </c>
      <c r="E59" s="45"/>
      <c r="F59" s="45">
        <f t="shared" si="9"/>
        <v>0</v>
      </c>
      <c r="G59" s="168">
        <f>SUM(F54:F59)</f>
        <v>0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</row>
    <row r="60" spans="1:47" s="12" customFormat="1" ht="15">
      <c r="A60" s="166"/>
      <c r="B60" s="42"/>
      <c r="C60" s="43"/>
      <c r="D60" s="44"/>
      <c r="E60" s="45"/>
      <c r="F60" s="45"/>
      <c r="G60" s="167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</row>
    <row r="61" spans="1:47" ht="16.5" customHeight="1">
      <c r="A61" s="163">
        <f>1+A53</f>
        <v>8</v>
      </c>
      <c r="B61" s="51" t="s">
        <v>166</v>
      </c>
      <c r="C61" s="40"/>
      <c r="D61" s="41"/>
      <c r="E61" s="148"/>
      <c r="F61" s="148"/>
      <c r="G61" s="165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</row>
    <row r="62" spans="1:47" s="12" customFormat="1" ht="15">
      <c r="A62" s="166">
        <f>+A61+0.01</f>
        <v>8.01</v>
      </c>
      <c r="B62" s="42" t="s">
        <v>116</v>
      </c>
      <c r="C62" s="43">
        <v>5</v>
      </c>
      <c r="D62" s="44" t="s">
        <v>8</v>
      </c>
      <c r="E62" s="45">
        <f>+APU!F198</f>
        <v>0</v>
      </c>
      <c r="F62" s="45">
        <f t="shared" ref="F62:F74" si="10">ROUND(C62*E62,2)</f>
        <v>0</v>
      </c>
      <c r="G62" s="167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</row>
    <row r="63" spans="1:47" s="12" customFormat="1" ht="15">
      <c r="A63" s="166">
        <f t="shared" ref="A63:A74" si="11">+A62+0.01</f>
        <v>8.02</v>
      </c>
      <c r="B63" s="42" t="s">
        <v>117</v>
      </c>
      <c r="C63" s="43">
        <v>6</v>
      </c>
      <c r="D63" s="44" t="s">
        <v>8</v>
      </c>
      <c r="E63" s="45">
        <f>+APU!F198</f>
        <v>0</v>
      </c>
      <c r="F63" s="45">
        <f t="shared" si="10"/>
        <v>0</v>
      </c>
      <c r="G63" s="167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</row>
    <row r="64" spans="1:47" s="12" customFormat="1" ht="15">
      <c r="A64" s="166">
        <f t="shared" si="11"/>
        <v>8.0299999999999994</v>
      </c>
      <c r="B64" s="42" t="s">
        <v>121</v>
      </c>
      <c r="C64" s="43">
        <v>30</v>
      </c>
      <c r="D64" s="44" t="s">
        <v>8</v>
      </c>
      <c r="E64" s="45">
        <f>+APU!F216</f>
        <v>0</v>
      </c>
      <c r="F64" s="45">
        <f t="shared" si="10"/>
        <v>0</v>
      </c>
      <c r="G64" s="167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</row>
    <row r="65" spans="1:47" s="12" customFormat="1" ht="15">
      <c r="A65" s="166">
        <f t="shared" si="11"/>
        <v>8.0399999999999991</v>
      </c>
      <c r="B65" s="42" t="s">
        <v>122</v>
      </c>
      <c r="C65" s="43">
        <v>20</v>
      </c>
      <c r="D65" s="44" t="s">
        <v>8</v>
      </c>
      <c r="E65" s="45">
        <f>+APU!F222</f>
        <v>0</v>
      </c>
      <c r="F65" s="45">
        <f t="shared" si="10"/>
        <v>0</v>
      </c>
      <c r="G65" s="167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</row>
    <row r="66" spans="1:47" s="12" customFormat="1" ht="15">
      <c r="A66" s="166">
        <f t="shared" si="11"/>
        <v>8.0499999999999989</v>
      </c>
      <c r="B66" s="42" t="s">
        <v>123</v>
      </c>
      <c r="C66" s="43">
        <v>1500</v>
      </c>
      <c r="D66" s="44" t="s">
        <v>180</v>
      </c>
      <c r="E66" s="45">
        <f>+APU!F228</f>
        <v>0</v>
      </c>
      <c r="F66" s="45">
        <f t="shared" si="10"/>
        <v>0</v>
      </c>
      <c r="G66" s="167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</row>
    <row r="67" spans="1:47" s="12" customFormat="1" ht="15">
      <c r="A67" s="166">
        <f t="shared" si="11"/>
        <v>8.0599999999999987</v>
      </c>
      <c r="B67" s="42" t="s">
        <v>124</v>
      </c>
      <c r="C67" s="43">
        <v>1</v>
      </c>
      <c r="D67" s="44" t="s">
        <v>8</v>
      </c>
      <c r="E67" s="45">
        <f>+APU!E233</f>
        <v>0</v>
      </c>
      <c r="F67" s="45">
        <f t="shared" si="10"/>
        <v>0</v>
      </c>
      <c r="G67" s="167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</row>
    <row r="68" spans="1:47" s="12" customFormat="1" ht="15">
      <c r="A68" s="166">
        <f t="shared" si="11"/>
        <v>8.0699999999999985</v>
      </c>
      <c r="B68" s="42" t="s">
        <v>125</v>
      </c>
      <c r="C68" s="43">
        <v>1</v>
      </c>
      <c r="D68" s="44" t="s">
        <v>8</v>
      </c>
      <c r="E68" s="45">
        <f>+APU!F240</f>
        <v>0</v>
      </c>
      <c r="F68" s="45">
        <f t="shared" si="10"/>
        <v>0</v>
      </c>
      <c r="G68" s="167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</row>
    <row r="69" spans="1:47" s="12" customFormat="1" ht="15">
      <c r="A69" s="166">
        <f t="shared" si="11"/>
        <v>8.0799999999999983</v>
      </c>
      <c r="B69" s="42" t="s">
        <v>126</v>
      </c>
      <c r="C69" s="43">
        <v>2</v>
      </c>
      <c r="D69" s="44" t="s">
        <v>8</v>
      </c>
      <c r="E69" s="45">
        <f>+APU!F246</f>
        <v>0</v>
      </c>
      <c r="F69" s="45">
        <f t="shared" si="10"/>
        <v>0</v>
      </c>
      <c r="G69" s="167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</row>
    <row r="70" spans="1:47" s="12" customFormat="1" ht="15">
      <c r="A70" s="166">
        <f t="shared" si="11"/>
        <v>8.0899999999999981</v>
      </c>
      <c r="B70" s="42" t="s">
        <v>127</v>
      </c>
      <c r="C70" s="43">
        <v>6</v>
      </c>
      <c r="D70" s="44" t="s">
        <v>8</v>
      </c>
      <c r="E70" s="45">
        <f>+APU!F252</f>
        <v>0</v>
      </c>
      <c r="F70" s="45">
        <f t="shared" si="10"/>
        <v>0</v>
      </c>
      <c r="G70" s="167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</row>
    <row r="71" spans="1:47" s="12" customFormat="1" ht="15">
      <c r="A71" s="166">
        <f t="shared" si="11"/>
        <v>8.0999999999999979</v>
      </c>
      <c r="B71" s="42" t="s">
        <v>128</v>
      </c>
      <c r="C71" s="43">
        <v>13</v>
      </c>
      <c r="D71" s="44" t="s">
        <v>8</v>
      </c>
      <c r="E71" s="45">
        <f>+APU!F258</f>
        <v>0</v>
      </c>
      <c r="F71" s="45">
        <f t="shared" si="10"/>
        <v>0</v>
      </c>
      <c r="G71" s="167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</row>
    <row r="72" spans="1:47" s="12" customFormat="1" ht="15">
      <c r="A72" s="166">
        <f t="shared" si="11"/>
        <v>8.1099999999999977</v>
      </c>
      <c r="B72" s="42" t="s">
        <v>129</v>
      </c>
      <c r="C72" s="43">
        <v>13</v>
      </c>
      <c r="D72" s="44" t="s">
        <v>8</v>
      </c>
      <c r="E72" s="45">
        <f>+APU!F264</f>
        <v>0</v>
      </c>
      <c r="F72" s="45">
        <f t="shared" si="10"/>
        <v>0</v>
      </c>
      <c r="G72" s="167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</row>
    <row r="73" spans="1:47" s="12" customFormat="1" ht="45">
      <c r="A73" s="166">
        <f t="shared" si="11"/>
        <v>8.1199999999999974</v>
      </c>
      <c r="B73" s="42" t="s">
        <v>130</v>
      </c>
      <c r="C73" s="43">
        <v>1</v>
      </c>
      <c r="D73" s="44" t="s">
        <v>181</v>
      </c>
      <c r="E73" s="45">
        <f>+APU!F269</f>
        <v>0</v>
      </c>
      <c r="F73" s="45">
        <f t="shared" si="10"/>
        <v>0</v>
      </c>
      <c r="G73" s="167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</row>
    <row r="74" spans="1:47" s="12" customFormat="1" ht="15">
      <c r="A74" s="166">
        <f t="shared" si="11"/>
        <v>8.1299999999999972</v>
      </c>
      <c r="B74" s="42" t="s">
        <v>131</v>
      </c>
      <c r="C74" s="43">
        <v>1</v>
      </c>
      <c r="D74" s="44" t="s">
        <v>181</v>
      </c>
      <c r="E74" s="45">
        <f>SUM(F62:F73)*0.2</f>
        <v>0</v>
      </c>
      <c r="F74" s="45">
        <f t="shared" si="10"/>
        <v>0</v>
      </c>
      <c r="G74" s="168">
        <f>SUM(F62:F74)</f>
        <v>0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</row>
    <row r="75" spans="1:47" s="12" customFormat="1" ht="15">
      <c r="A75" s="166"/>
      <c r="B75" s="42"/>
      <c r="C75" s="43"/>
      <c r="D75" s="44"/>
      <c r="E75" s="45"/>
      <c r="F75" s="45"/>
      <c r="G75" s="167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</row>
    <row r="76" spans="1:47" ht="16.5" customHeight="1">
      <c r="A76" s="163">
        <f>1+A61</f>
        <v>9</v>
      </c>
      <c r="B76" s="51" t="s">
        <v>24</v>
      </c>
      <c r="C76" s="40"/>
      <c r="D76" s="41"/>
      <c r="E76" s="151"/>
      <c r="F76" s="148"/>
      <c r="G76" s="165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</row>
    <row r="77" spans="1:47" s="12" customFormat="1" ht="45">
      <c r="A77" s="166">
        <f>0.01+A76</f>
        <v>9.01</v>
      </c>
      <c r="B77" s="42" t="s">
        <v>171</v>
      </c>
      <c r="C77" s="48">
        <v>1</v>
      </c>
      <c r="D77" s="52" t="s">
        <v>8</v>
      </c>
      <c r="E77" s="152"/>
      <c r="F77" s="45">
        <f t="shared" ref="F77:F91" si="12">+E77*C77</f>
        <v>0</v>
      </c>
      <c r="G77" s="168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</row>
    <row r="78" spans="1:47" s="12" customFormat="1" ht="30">
      <c r="A78" s="166">
        <f>0.01+A77</f>
        <v>9.02</v>
      </c>
      <c r="B78" s="42" t="s">
        <v>169</v>
      </c>
      <c r="C78" s="48">
        <v>2.1</v>
      </c>
      <c r="D78" s="52" t="s">
        <v>182</v>
      </c>
      <c r="E78" s="152"/>
      <c r="F78" s="45">
        <f t="shared" si="12"/>
        <v>0</v>
      </c>
      <c r="G78" s="168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</row>
    <row r="79" spans="1:47" s="12" customFormat="1" ht="30">
      <c r="A79" s="166">
        <f t="shared" ref="A79:A93" si="13">0.01+A78</f>
        <v>9.0299999999999994</v>
      </c>
      <c r="B79" s="220" t="s">
        <v>213</v>
      </c>
      <c r="C79" s="221">
        <f>(2.01*0.6+2.81*0.7)*10.76</f>
        <v>34.141479999999994</v>
      </c>
      <c r="D79" s="222" t="s">
        <v>212</v>
      </c>
      <c r="E79" s="218"/>
      <c r="F79" s="45">
        <f t="shared" si="12"/>
        <v>0</v>
      </c>
      <c r="G79" s="168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</row>
    <row r="80" spans="1:47" s="12" customFormat="1" ht="15">
      <c r="A80" s="166">
        <f t="shared" si="13"/>
        <v>9.0399999999999991</v>
      </c>
      <c r="B80" s="220" t="s">
        <v>214</v>
      </c>
      <c r="C80" s="221">
        <f>2.01*0.52*10.76</f>
        <v>11.246351999999998</v>
      </c>
      <c r="D80" s="222" t="s">
        <v>212</v>
      </c>
      <c r="E80" s="218"/>
      <c r="F80" s="45">
        <f t="shared" si="12"/>
        <v>0</v>
      </c>
      <c r="G80" s="168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</row>
    <row r="81" spans="1:47" s="12" customFormat="1" ht="30">
      <c r="A81" s="166">
        <f t="shared" si="13"/>
        <v>9.0499999999999989</v>
      </c>
      <c r="B81" s="220" t="s">
        <v>215</v>
      </c>
      <c r="C81" s="221">
        <v>1.77</v>
      </c>
      <c r="D81" s="222" t="s">
        <v>182</v>
      </c>
      <c r="E81" s="218"/>
      <c r="F81" s="45">
        <f t="shared" si="12"/>
        <v>0</v>
      </c>
      <c r="G81" s="168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</row>
    <row r="82" spans="1:47" s="12" customFormat="1" ht="15">
      <c r="A82" s="166">
        <f t="shared" si="13"/>
        <v>9.0599999999999987</v>
      </c>
      <c r="B82" s="220" t="s">
        <v>216</v>
      </c>
      <c r="C82" s="221">
        <f>2.01*3.28</f>
        <v>6.5927999999999987</v>
      </c>
      <c r="D82" s="222" t="s">
        <v>180</v>
      </c>
      <c r="E82" s="218"/>
      <c r="F82" s="45">
        <f t="shared" si="12"/>
        <v>0</v>
      </c>
      <c r="G82" s="168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</row>
    <row r="83" spans="1:47" s="12" customFormat="1" ht="15">
      <c r="A83" s="166">
        <f t="shared" si="13"/>
        <v>9.0699999999999985</v>
      </c>
      <c r="B83" s="220" t="s">
        <v>217</v>
      </c>
      <c r="C83" s="221">
        <f>3.25*3.28</f>
        <v>10.66</v>
      </c>
      <c r="D83" s="222" t="s">
        <v>180</v>
      </c>
      <c r="E83" s="218"/>
      <c r="F83" s="45">
        <f t="shared" si="12"/>
        <v>0</v>
      </c>
      <c r="G83" s="168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</row>
    <row r="84" spans="1:47" s="12" customFormat="1" ht="15">
      <c r="A84" s="166">
        <f t="shared" si="13"/>
        <v>9.0799999999999983</v>
      </c>
      <c r="B84" s="220" t="s">
        <v>227</v>
      </c>
      <c r="C84" s="221">
        <f>7*21.84+1.1*4*3.28</f>
        <v>167.31199999999998</v>
      </c>
      <c r="D84" s="222" t="s">
        <v>224</v>
      </c>
      <c r="E84" s="218"/>
      <c r="F84" s="45">
        <f t="shared" si="12"/>
        <v>0</v>
      </c>
      <c r="G84" s="168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</row>
    <row r="85" spans="1:47" s="12" customFormat="1" ht="15">
      <c r="A85" s="166">
        <f t="shared" si="13"/>
        <v>9.0899999999999981</v>
      </c>
      <c r="B85" s="220" t="s">
        <v>225</v>
      </c>
      <c r="C85" s="221">
        <v>2</v>
      </c>
      <c r="D85" s="222" t="s">
        <v>8</v>
      </c>
      <c r="E85" s="218"/>
      <c r="F85" s="45">
        <f t="shared" si="12"/>
        <v>0</v>
      </c>
      <c r="G85" s="168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</row>
    <row r="86" spans="1:47" s="12" customFormat="1" ht="30">
      <c r="A86" s="166">
        <f t="shared" si="13"/>
        <v>9.0999999999999979</v>
      </c>
      <c r="B86" s="220" t="s">
        <v>232</v>
      </c>
      <c r="C86" s="221">
        <v>2</v>
      </c>
      <c r="D86" s="222" t="s">
        <v>8</v>
      </c>
      <c r="E86" s="218"/>
      <c r="F86" s="45">
        <f t="shared" si="12"/>
        <v>0</v>
      </c>
      <c r="G86" s="168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</row>
    <row r="87" spans="1:47" s="12" customFormat="1" ht="15">
      <c r="A87" s="166">
        <f t="shared" si="13"/>
        <v>9.1099999999999977</v>
      </c>
      <c r="B87" s="220" t="s">
        <v>228</v>
      </c>
      <c r="C87" s="221">
        <v>6</v>
      </c>
      <c r="D87" s="222" t="s">
        <v>229</v>
      </c>
      <c r="E87" s="218"/>
      <c r="F87" s="109">
        <f t="shared" si="12"/>
        <v>0</v>
      </c>
      <c r="G87" s="168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</row>
    <row r="88" spans="1:47" s="12" customFormat="1" ht="30">
      <c r="A88" s="166">
        <f t="shared" si="13"/>
        <v>9.1199999999999974</v>
      </c>
      <c r="B88" s="220" t="s">
        <v>230</v>
      </c>
      <c r="C88" s="221">
        <v>2</v>
      </c>
      <c r="D88" s="222" t="s">
        <v>8</v>
      </c>
      <c r="E88" s="218"/>
      <c r="F88" s="45">
        <f t="shared" si="12"/>
        <v>0</v>
      </c>
      <c r="G88" s="168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</row>
    <row r="89" spans="1:47" s="12" customFormat="1" ht="30">
      <c r="A89" s="166">
        <f t="shared" si="13"/>
        <v>9.1299999999999972</v>
      </c>
      <c r="B89" s="220" t="s">
        <v>231</v>
      </c>
      <c r="C89" s="221">
        <v>2</v>
      </c>
      <c r="D89" s="222" t="s">
        <v>8</v>
      </c>
      <c r="E89" s="218"/>
      <c r="F89" s="45">
        <f t="shared" si="12"/>
        <v>0</v>
      </c>
      <c r="G89" s="168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</row>
    <row r="90" spans="1:47" s="12" customFormat="1" ht="30">
      <c r="A90" s="166">
        <f t="shared" si="13"/>
        <v>9.139999999999997</v>
      </c>
      <c r="B90" s="220" t="s">
        <v>233</v>
      </c>
      <c r="C90" s="221">
        <v>12</v>
      </c>
      <c r="D90" s="222" t="s">
        <v>9</v>
      </c>
      <c r="E90" s="218"/>
      <c r="F90" s="45">
        <f t="shared" si="12"/>
        <v>0</v>
      </c>
      <c r="G90" s="168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</row>
    <row r="91" spans="1:47" s="12" customFormat="1" ht="30">
      <c r="A91" s="166">
        <f t="shared" si="13"/>
        <v>9.1499999999999968</v>
      </c>
      <c r="B91" s="220" t="s">
        <v>234</v>
      </c>
      <c r="C91" s="221">
        <f>4.58*1.26</f>
        <v>5.7708000000000004</v>
      </c>
      <c r="D91" s="222" t="s">
        <v>9</v>
      </c>
      <c r="E91" s="218"/>
      <c r="F91" s="45">
        <f t="shared" si="12"/>
        <v>0</v>
      </c>
      <c r="G91" s="168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</row>
    <row r="92" spans="1:47" s="12" customFormat="1" ht="15">
      <c r="A92" s="166">
        <f t="shared" si="13"/>
        <v>9.1599999999999966</v>
      </c>
      <c r="B92" s="220" t="s">
        <v>226</v>
      </c>
      <c r="C92" s="221">
        <v>1</v>
      </c>
      <c r="D92" s="222" t="s">
        <v>8</v>
      </c>
      <c r="E92" s="218"/>
      <c r="F92" s="45">
        <f t="shared" ref="F92" si="14">+E92*C92</f>
        <v>0</v>
      </c>
      <c r="G92" s="168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</row>
    <row r="93" spans="1:47" s="12" customFormat="1" ht="15">
      <c r="A93" s="166">
        <f t="shared" si="13"/>
        <v>9.1699999999999964</v>
      </c>
      <c r="B93" s="42" t="s">
        <v>21</v>
      </c>
      <c r="C93" s="48">
        <v>1</v>
      </c>
      <c r="D93" s="52" t="s">
        <v>73</v>
      </c>
      <c r="E93" s="152">
        <f>APU!F277</f>
        <v>0</v>
      </c>
      <c r="F93" s="45">
        <f t="shared" ref="F93" si="15">+E93*C93</f>
        <v>0</v>
      </c>
      <c r="G93" s="168">
        <f>SUM(F76:F93)</f>
        <v>0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</row>
    <row r="94" spans="1:47" s="16" customFormat="1" ht="15.6">
      <c r="A94" s="169"/>
      <c r="B94" s="170"/>
      <c r="C94" s="55"/>
      <c r="D94" s="56"/>
      <c r="E94" s="57"/>
      <c r="F94" s="58"/>
      <c r="G94" s="171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</row>
    <row r="95" spans="1:47" ht="15.6" thickBot="1">
      <c r="A95" s="22"/>
      <c r="B95" s="23" t="s">
        <v>12</v>
      </c>
      <c r="C95" s="24"/>
      <c r="D95" s="24"/>
      <c r="E95" s="25"/>
      <c r="F95" s="25"/>
      <c r="G95" s="172">
        <f>SUM(G19:G93)</f>
        <v>0</v>
      </c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</row>
    <row r="96" spans="1:47" ht="15">
      <c r="A96" s="59"/>
      <c r="B96" s="173" t="s">
        <v>13</v>
      </c>
      <c r="C96" s="26">
        <v>0.1</v>
      </c>
      <c r="D96" s="60"/>
      <c r="E96" s="61">
        <f>+C96*G95</f>
        <v>0</v>
      </c>
      <c r="F96" s="62"/>
      <c r="G96" s="174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</row>
    <row r="97" spans="1:110" ht="15">
      <c r="A97" s="27"/>
      <c r="B97" s="173" t="s">
        <v>14</v>
      </c>
      <c r="C97" s="175">
        <v>0.04</v>
      </c>
      <c r="D97" s="176"/>
      <c r="E97" s="177">
        <f>+C97*G95</f>
        <v>0</v>
      </c>
      <c r="F97" s="177"/>
      <c r="G97" s="178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</row>
    <row r="98" spans="1:110" ht="15">
      <c r="A98" s="27"/>
      <c r="B98" s="173" t="s">
        <v>15</v>
      </c>
      <c r="C98" s="175">
        <v>0.02</v>
      </c>
      <c r="D98" s="176"/>
      <c r="E98" s="177">
        <f>+C98*G95</f>
        <v>0</v>
      </c>
      <c r="F98" s="177"/>
      <c r="G98" s="17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</row>
    <row r="99" spans="1:110" ht="15">
      <c r="A99" s="27"/>
      <c r="B99" s="173" t="s">
        <v>26</v>
      </c>
      <c r="C99" s="175">
        <v>0.04</v>
      </c>
      <c r="D99" s="176"/>
      <c r="E99" s="177">
        <f>+C99*G95</f>
        <v>0</v>
      </c>
      <c r="F99" s="177"/>
      <c r="G99" s="178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</row>
    <row r="100" spans="1:110" ht="15">
      <c r="A100" s="27"/>
      <c r="B100" s="173" t="s">
        <v>27</v>
      </c>
      <c r="C100" s="175">
        <v>0.01</v>
      </c>
      <c r="D100" s="176"/>
      <c r="E100" s="177">
        <f>+C100*G95</f>
        <v>0</v>
      </c>
      <c r="F100" s="177"/>
      <c r="G100" s="178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</row>
    <row r="101" spans="1:110" ht="15">
      <c r="A101" s="27"/>
      <c r="B101" s="173" t="s">
        <v>16</v>
      </c>
      <c r="C101" s="179">
        <v>1E-3</v>
      </c>
      <c r="D101" s="176"/>
      <c r="E101" s="177">
        <f>+C101*G95</f>
        <v>0</v>
      </c>
      <c r="F101" s="177"/>
      <c r="G101" s="178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</row>
    <row r="102" spans="1:110" ht="15">
      <c r="A102" s="27"/>
      <c r="B102" s="173" t="s">
        <v>17</v>
      </c>
      <c r="C102" s="175">
        <v>0.18</v>
      </c>
      <c r="D102" s="176"/>
      <c r="E102" s="177">
        <f>+C102*E96</f>
        <v>0</v>
      </c>
      <c r="F102" s="177"/>
      <c r="G102" s="178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</row>
    <row r="103" spans="1:110" ht="15.6" thickBot="1">
      <c r="A103" s="134"/>
      <c r="B103" s="135" t="s">
        <v>151</v>
      </c>
      <c r="C103" s="136">
        <v>0.05</v>
      </c>
      <c r="D103" s="137"/>
      <c r="E103" s="138">
        <f>+C103*G95</f>
        <v>0</v>
      </c>
      <c r="F103" s="138"/>
      <c r="G103" s="180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</row>
    <row r="104" spans="1:110" ht="15.6" thickBot="1">
      <c r="A104" s="32"/>
      <c r="B104" s="33" t="s">
        <v>18</v>
      </c>
      <c r="C104" s="34"/>
      <c r="D104" s="34"/>
      <c r="E104" s="35"/>
      <c r="F104" s="35"/>
      <c r="G104" s="157">
        <f>SUM(E96:E104)</f>
        <v>0</v>
      </c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</row>
    <row r="105" spans="1:110" ht="16.2" thickBot="1">
      <c r="A105" s="53"/>
      <c r="B105" s="181"/>
      <c r="C105" s="182"/>
      <c r="D105" s="183"/>
      <c r="E105" s="184"/>
      <c r="F105" s="184"/>
      <c r="G105" s="54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</row>
    <row r="106" spans="1:110" ht="16.2" thickBot="1">
      <c r="A106" s="28"/>
      <c r="B106" s="29" t="s">
        <v>19</v>
      </c>
      <c r="C106" s="29"/>
      <c r="D106" s="29"/>
      <c r="E106" s="30"/>
      <c r="F106" s="31"/>
      <c r="G106" s="185">
        <f>+G104+G95</f>
        <v>0</v>
      </c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</row>
    <row r="107" spans="1:110" ht="15.6">
      <c r="A107" s="226"/>
      <c r="B107" s="227"/>
      <c r="C107" s="227"/>
      <c r="D107" s="227"/>
      <c r="E107" s="228"/>
      <c r="F107" s="228"/>
      <c r="G107" s="229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110" ht="14.25" customHeight="1">
      <c r="A108" s="191"/>
      <c r="B108" s="153"/>
      <c r="C108" s="153"/>
      <c r="D108" s="153"/>
      <c r="E108"/>
      <c r="F108"/>
      <c r="G108" s="193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110" s="123" customFormat="1" ht="18" customHeight="1">
      <c r="A109" s="251"/>
      <c r="B109" s="252"/>
      <c r="C109" s="252"/>
      <c r="D109" s="252"/>
      <c r="E109" s="252"/>
      <c r="F109" s="252"/>
      <c r="G109" s="253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  <c r="BM109" s="122"/>
      <c r="BN109" s="122"/>
      <c r="BO109" s="122"/>
      <c r="BP109" s="122"/>
      <c r="BQ109" s="122"/>
      <c r="BR109" s="122"/>
      <c r="BS109" s="122"/>
      <c r="BT109" s="122"/>
      <c r="BU109" s="122"/>
      <c r="BV109" s="122"/>
      <c r="BW109" s="122"/>
      <c r="BX109" s="122"/>
      <c r="BY109" s="122"/>
      <c r="BZ109" s="122"/>
      <c r="CA109" s="122"/>
      <c r="CB109" s="122"/>
      <c r="CC109" s="122"/>
      <c r="CD109" s="122"/>
      <c r="CE109" s="122"/>
      <c r="CF109" s="122"/>
      <c r="CG109" s="122"/>
      <c r="CH109" s="122"/>
      <c r="CI109" s="122"/>
      <c r="CJ109" s="122"/>
      <c r="CK109" s="122"/>
      <c r="CL109" s="122"/>
      <c r="CM109" s="122"/>
      <c r="CN109" s="122"/>
      <c r="CO109" s="122"/>
      <c r="CP109" s="122"/>
      <c r="CQ109" s="122"/>
      <c r="CR109" s="122"/>
      <c r="CS109" s="122"/>
      <c r="CT109" s="122"/>
      <c r="CU109" s="122"/>
      <c r="CV109" s="122"/>
      <c r="CW109" s="122"/>
      <c r="CX109" s="122"/>
      <c r="CY109" s="122"/>
      <c r="CZ109" s="122"/>
      <c r="DA109" s="122"/>
      <c r="DB109" s="122"/>
      <c r="DC109" s="122"/>
      <c r="DD109" s="122"/>
      <c r="DE109" s="122"/>
      <c r="DF109" s="122"/>
    </row>
    <row r="110" spans="1:110" s="125" customFormat="1" ht="14.25" customHeight="1">
      <c r="A110" s="194"/>
      <c r="B110" s="154"/>
      <c r="C110" s="153"/>
      <c r="D110" s="153"/>
      <c r="E110" s="240"/>
      <c r="F110" s="240"/>
      <c r="G110" s="241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124"/>
      <c r="AT110" s="124"/>
      <c r="AU110" s="124"/>
      <c r="AV110" s="124"/>
      <c r="AW110" s="124"/>
      <c r="AX110" s="124"/>
      <c r="AY110" s="124"/>
      <c r="AZ110" s="124"/>
      <c r="BA110" s="124"/>
      <c r="BB110" s="124"/>
      <c r="BC110" s="124"/>
      <c r="BD110" s="124"/>
      <c r="BE110" s="124"/>
      <c r="BF110" s="124"/>
      <c r="BG110" s="124"/>
      <c r="BH110" s="124"/>
      <c r="BI110" s="124"/>
      <c r="BJ110" s="124"/>
      <c r="BK110" s="124"/>
      <c r="BL110" s="124"/>
      <c r="BM110" s="124"/>
      <c r="BN110" s="124"/>
      <c r="BO110" s="124"/>
      <c r="BP110" s="124"/>
      <c r="BQ110" s="124"/>
      <c r="BR110" s="124"/>
      <c r="BS110" s="124"/>
      <c r="BT110" s="124"/>
      <c r="BU110" s="124"/>
      <c r="BV110" s="124"/>
      <c r="BW110" s="124"/>
      <c r="BX110" s="124"/>
      <c r="BY110" s="124"/>
      <c r="BZ110" s="124"/>
      <c r="CA110" s="124"/>
      <c r="CB110" s="124"/>
      <c r="CC110" s="124"/>
      <c r="CD110" s="124"/>
      <c r="CE110" s="124"/>
      <c r="CF110" s="124"/>
      <c r="CG110" s="124"/>
      <c r="CH110" s="124"/>
      <c r="CI110" s="124"/>
      <c r="CJ110" s="124"/>
      <c r="CK110" s="124"/>
      <c r="CL110" s="124"/>
      <c r="CM110" s="124"/>
      <c r="CN110" s="124"/>
      <c r="CO110" s="124"/>
      <c r="CP110" s="124"/>
      <c r="CQ110" s="124"/>
      <c r="CR110" s="124"/>
      <c r="CS110" s="124"/>
      <c r="CT110" s="124"/>
      <c r="CU110" s="124"/>
      <c r="CV110" s="124"/>
      <c r="CW110" s="124"/>
      <c r="CX110" s="124"/>
      <c r="CY110" s="124"/>
      <c r="CZ110" s="124"/>
      <c r="DA110" s="124"/>
      <c r="DB110" s="124"/>
      <c r="DC110" s="124"/>
      <c r="DD110" s="124"/>
      <c r="DE110" s="124"/>
      <c r="DF110" s="124"/>
    </row>
    <row r="111" spans="1:110" s="125" customFormat="1" ht="16.5" customHeight="1">
      <c r="A111" s="230"/>
      <c r="B111" s="144"/>
      <c r="C111" s="144"/>
      <c r="D111" s="144"/>
      <c r="E111" s="144"/>
      <c r="F111" s="144"/>
      <c r="G111" s="14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  <c r="AT111" s="124"/>
      <c r="AU111" s="124"/>
      <c r="AV111" s="124"/>
      <c r="AW111" s="124"/>
      <c r="AX111" s="124"/>
      <c r="AY111" s="124"/>
      <c r="AZ111" s="124"/>
      <c r="BA111" s="124"/>
      <c r="BB111" s="124"/>
      <c r="BC111" s="124"/>
      <c r="BD111" s="124"/>
      <c r="BE111" s="124"/>
      <c r="BF111" s="124"/>
      <c r="BG111" s="124"/>
      <c r="BH111" s="124"/>
      <c r="BI111" s="124"/>
      <c r="BJ111" s="124"/>
      <c r="BK111" s="124"/>
      <c r="BL111" s="124"/>
      <c r="BM111" s="124"/>
      <c r="BN111" s="124"/>
      <c r="BO111" s="124"/>
      <c r="BP111" s="124"/>
      <c r="BQ111" s="124"/>
      <c r="BR111" s="124"/>
      <c r="BS111" s="124"/>
      <c r="BT111" s="124"/>
      <c r="BU111" s="124"/>
      <c r="BV111" s="124"/>
      <c r="BW111" s="124"/>
      <c r="BX111" s="124"/>
      <c r="BY111" s="124"/>
      <c r="BZ111" s="124"/>
      <c r="CA111" s="124"/>
      <c r="CB111" s="124"/>
      <c r="CC111" s="124"/>
      <c r="CD111" s="124"/>
      <c r="CE111" s="124"/>
      <c r="CF111" s="124"/>
      <c r="CG111" s="124"/>
      <c r="CH111" s="124"/>
      <c r="CI111" s="124"/>
      <c r="CJ111" s="124"/>
      <c r="CK111" s="124"/>
      <c r="CL111" s="124"/>
      <c r="CM111" s="124"/>
      <c r="CN111" s="124"/>
      <c r="CO111" s="124"/>
      <c r="CP111" s="124"/>
      <c r="CQ111" s="124"/>
      <c r="CR111" s="124"/>
      <c r="CS111" s="124"/>
      <c r="CT111" s="124"/>
      <c r="CU111" s="124"/>
      <c r="CV111" s="124"/>
      <c r="CW111" s="124"/>
      <c r="CX111" s="124"/>
      <c r="CY111" s="124"/>
      <c r="CZ111" s="124"/>
      <c r="DA111" s="124"/>
      <c r="DB111" s="124"/>
      <c r="DC111" s="124"/>
      <c r="DD111" s="124"/>
      <c r="DE111" s="124"/>
      <c r="DF111" s="124"/>
    </row>
    <row r="112" spans="1:110" s="125" customFormat="1" ht="17.399999999999999" customHeight="1">
      <c r="A112" s="155"/>
      <c r="B112" s="231"/>
      <c r="C112" s="231"/>
      <c r="D112" s="231"/>
      <c r="E112" s="231"/>
      <c r="F112" s="231"/>
      <c r="G112" s="232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  <c r="AT112" s="124"/>
      <c r="AU112" s="124"/>
      <c r="AV112" s="124"/>
      <c r="AW112" s="124"/>
      <c r="AX112" s="124"/>
      <c r="AY112" s="124"/>
      <c r="AZ112" s="124"/>
      <c r="BA112" s="124"/>
      <c r="BB112" s="124"/>
      <c r="BC112" s="124"/>
      <c r="BD112" s="124"/>
      <c r="BE112" s="124"/>
      <c r="BF112" s="124"/>
      <c r="BG112" s="124"/>
      <c r="BH112" s="124"/>
      <c r="BI112" s="124"/>
      <c r="BJ112" s="124"/>
      <c r="BK112" s="124"/>
      <c r="BL112" s="124"/>
      <c r="BM112" s="124"/>
      <c r="BN112" s="124"/>
      <c r="BO112" s="124"/>
      <c r="BP112" s="124"/>
      <c r="BQ112" s="124"/>
      <c r="BR112" s="124"/>
      <c r="BS112" s="124"/>
      <c r="BT112" s="124"/>
      <c r="BU112" s="124"/>
      <c r="BV112" s="124"/>
      <c r="BW112" s="124"/>
      <c r="BX112" s="124"/>
      <c r="BY112" s="124"/>
      <c r="BZ112" s="124"/>
      <c r="CA112" s="124"/>
      <c r="CB112" s="124"/>
      <c r="CC112" s="124"/>
      <c r="CD112" s="124"/>
      <c r="CE112" s="124"/>
      <c r="CF112" s="124"/>
      <c r="CG112" s="124"/>
      <c r="CH112" s="124"/>
      <c r="CI112" s="124"/>
      <c r="CJ112" s="124"/>
      <c r="CK112" s="124"/>
      <c r="CL112" s="124"/>
      <c r="CM112" s="124"/>
      <c r="CN112" s="124"/>
      <c r="CO112" s="124"/>
      <c r="CP112" s="124"/>
      <c r="CQ112" s="124"/>
      <c r="CR112" s="124"/>
      <c r="CS112" s="124"/>
      <c r="CT112" s="124"/>
      <c r="CU112" s="124"/>
      <c r="CV112" s="124"/>
      <c r="CW112" s="124"/>
      <c r="CX112" s="124"/>
      <c r="CY112" s="124"/>
      <c r="CZ112" s="124"/>
      <c r="DA112" s="124"/>
      <c r="DB112" s="124"/>
      <c r="DC112" s="124"/>
      <c r="DD112" s="124"/>
      <c r="DE112" s="124"/>
      <c r="DF112" s="124"/>
    </row>
    <row r="113" spans="1:110" s="125" customFormat="1" ht="15">
      <c r="A113" s="186"/>
      <c r="B113" s="238" t="s">
        <v>96</v>
      </c>
      <c r="C113" s="238"/>
      <c r="D113" s="238"/>
      <c r="E113" s="238"/>
      <c r="F113" s="238"/>
      <c r="G113" s="239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  <c r="AI113" s="124"/>
      <c r="AJ113" s="124"/>
      <c r="AK113" s="124"/>
      <c r="AL113" s="124"/>
      <c r="AM113" s="124"/>
      <c r="AN113" s="124"/>
      <c r="AO113" s="124"/>
      <c r="AP113" s="124"/>
      <c r="AQ113" s="124"/>
      <c r="AR113" s="124"/>
      <c r="AS113" s="124"/>
      <c r="AT113" s="124"/>
      <c r="AU113" s="124"/>
      <c r="AV113" s="124"/>
      <c r="AW113" s="124"/>
      <c r="AX113" s="124"/>
      <c r="AY113" s="124"/>
      <c r="AZ113" s="124"/>
      <c r="BA113" s="124"/>
      <c r="BB113" s="124"/>
      <c r="BC113" s="124"/>
      <c r="BD113" s="124"/>
      <c r="BE113" s="124"/>
      <c r="BF113" s="124"/>
      <c r="BG113" s="124"/>
      <c r="BH113" s="124"/>
      <c r="BI113" s="124"/>
      <c r="BJ113" s="124"/>
      <c r="BK113" s="124"/>
      <c r="BL113" s="124"/>
      <c r="BM113" s="124"/>
      <c r="BN113" s="124"/>
      <c r="BO113" s="124"/>
      <c r="BP113" s="124"/>
      <c r="BQ113" s="124"/>
      <c r="BR113" s="124"/>
      <c r="BS113" s="124"/>
      <c r="BT113" s="124"/>
      <c r="BU113" s="124"/>
      <c r="BV113" s="124"/>
      <c r="BW113" s="124"/>
      <c r="BX113" s="124"/>
      <c r="BY113" s="124"/>
      <c r="BZ113" s="124"/>
      <c r="CA113" s="124"/>
      <c r="CB113" s="124"/>
      <c r="CC113" s="124"/>
      <c r="CD113" s="124"/>
      <c r="CE113" s="124"/>
      <c r="CF113" s="124"/>
      <c r="CG113" s="124"/>
      <c r="CH113" s="124"/>
      <c r="CI113" s="124"/>
      <c r="CJ113" s="124"/>
      <c r="CK113" s="124"/>
      <c r="CL113" s="124"/>
      <c r="CM113" s="124"/>
      <c r="CN113" s="124"/>
      <c r="CO113" s="124"/>
      <c r="CP113" s="124"/>
      <c r="CQ113" s="124"/>
      <c r="CR113" s="124"/>
      <c r="CS113" s="124"/>
      <c r="CT113" s="124"/>
      <c r="CU113" s="124"/>
      <c r="CV113" s="124"/>
      <c r="CW113" s="124"/>
      <c r="CX113" s="124"/>
      <c r="CY113" s="124"/>
      <c r="CZ113" s="124"/>
      <c r="DA113" s="124"/>
      <c r="DB113" s="124"/>
      <c r="DC113" s="124"/>
      <c r="DD113" s="124"/>
      <c r="DE113" s="124"/>
      <c r="DF113" s="124"/>
    </row>
    <row r="114" spans="1:110" s="125" customFormat="1" ht="19.2" customHeight="1">
      <c r="A114" s="155">
        <v>1</v>
      </c>
      <c r="B114" s="231" t="s">
        <v>183</v>
      </c>
      <c r="C114" s="231"/>
      <c r="D114" s="231"/>
      <c r="E114" s="231"/>
      <c r="F114" s="231"/>
      <c r="G114" s="232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124"/>
      <c r="AO114" s="124"/>
      <c r="AP114" s="124"/>
      <c r="AQ114" s="124"/>
      <c r="AR114" s="124"/>
      <c r="AS114" s="124"/>
      <c r="AT114" s="124"/>
      <c r="AU114" s="124"/>
      <c r="AV114" s="124"/>
      <c r="AW114" s="124"/>
      <c r="AX114" s="124"/>
      <c r="AY114" s="124"/>
      <c r="AZ114" s="124"/>
      <c r="BA114" s="124"/>
      <c r="BB114" s="124"/>
      <c r="BC114" s="124"/>
      <c r="BD114" s="124"/>
      <c r="BE114" s="124"/>
      <c r="BF114" s="124"/>
      <c r="BG114" s="124"/>
      <c r="BH114" s="124"/>
      <c r="BI114" s="124"/>
      <c r="BJ114" s="124"/>
      <c r="BK114" s="124"/>
      <c r="BL114" s="124"/>
      <c r="BM114" s="124"/>
      <c r="BN114" s="124"/>
      <c r="BO114" s="124"/>
      <c r="BP114" s="124"/>
      <c r="BQ114" s="124"/>
      <c r="BR114" s="124"/>
      <c r="BS114" s="124"/>
      <c r="BT114" s="124"/>
      <c r="BU114" s="124"/>
      <c r="BV114" s="124"/>
      <c r="BW114" s="124"/>
      <c r="BX114" s="124"/>
      <c r="BY114" s="124"/>
      <c r="BZ114" s="124"/>
      <c r="CA114" s="124"/>
      <c r="CB114" s="124"/>
      <c r="CC114" s="124"/>
      <c r="CD114" s="124"/>
      <c r="CE114" s="124"/>
      <c r="CF114" s="124"/>
      <c r="CG114" s="124"/>
      <c r="CH114" s="124"/>
      <c r="CI114" s="124"/>
      <c r="CJ114" s="124"/>
      <c r="CK114" s="124"/>
      <c r="CL114" s="124"/>
      <c r="CM114" s="124"/>
      <c r="CN114" s="124"/>
      <c r="CO114" s="124"/>
      <c r="CP114" s="124"/>
      <c r="CQ114" s="124"/>
      <c r="CR114" s="124"/>
      <c r="CS114" s="124"/>
      <c r="CT114" s="124"/>
      <c r="CU114" s="124"/>
      <c r="CV114" s="124"/>
      <c r="CW114" s="124"/>
      <c r="CX114" s="124"/>
      <c r="CY114" s="124"/>
      <c r="CZ114" s="124"/>
      <c r="DA114" s="124"/>
      <c r="DB114" s="124"/>
      <c r="DC114" s="124"/>
      <c r="DD114" s="124"/>
      <c r="DE114" s="124"/>
      <c r="DF114" s="124"/>
    </row>
    <row r="115" spans="1:110" s="125" customFormat="1" ht="15">
      <c r="A115" s="155">
        <v>2</v>
      </c>
      <c r="B115" s="231" t="s">
        <v>97</v>
      </c>
      <c r="C115" s="231"/>
      <c r="D115" s="231"/>
      <c r="E115" s="231"/>
      <c r="F115" s="231"/>
      <c r="G115" s="232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  <c r="AA115" s="124"/>
      <c r="AB115" s="124"/>
      <c r="AC115" s="124"/>
      <c r="AD115" s="124"/>
      <c r="AE115" s="124"/>
      <c r="AF115" s="124"/>
      <c r="AG115" s="124"/>
      <c r="AH115" s="124"/>
      <c r="AI115" s="124"/>
      <c r="AJ115" s="124"/>
      <c r="AK115" s="124"/>
      <c r="AL115" s="124"/>
      <c r="AM115" s="124"/>
      <c r="AN115" s="124"/>
      <c r="AO115" s="124"/>
      <c r="AP115" s="124"/>
      <c r="AQ115" s="124"/>
      <c r="AR115" s="124"/>
      <c r="AS115" s="124"/>
      <c r="AT115" s="124"/>
      <c r="AU115" s="124"/>
      <c r="AV115" s="124"/>
      <c r="AW115" s="124"/>
      <c r="AX115" s="124"/>
      <c r="AY115" s="124"/>
      <c r="AZ115" s="124"/>
      <c r="BA115" s="124"/>
      <c r="BB115" s="124"/>
      <c r="BC115" s="124"/>
      <c r="BD115" s="124"/>
      <c r="BE115" s="124"/>
      <c r="BF115" s="124"/>
      <c r="BG115" s="124"/>
      <c r="BH115" s="124"/>
      <c r="BI115" s="124"/>
      <c r="BJ115" s="124"/>
      <c r="BK115" s="124"/>
      <c r="BL115" s="124"/>
      <c r="BM115" s="124"/>
      <c r="BN115" s="124"/>
      <c r="BO115" s="124"/>
      <c r="BP115" s="124"/>
      <c r="BQ115" s="124"/>
      <c r="BR115" s="124"/>
      <c r="BS115" s="124"/>
      <c r="BT115" s="124"/>
      <c r="BU115" s="124"/>
      <c r="BV115" s="124"/>
      <c r="BW115" s="124"/>
      <c r="BX115" s="124"/>
      <c r="BY115" s="124"/>
      <c r="BZ115" s="124"/>
      <c r="CA115" s="124"/>
      <c r="CB115" s="124"/>
      <c r="CC115" s="124"/>
      <c r="CD115" s="124"/>
      <c r="CE115" s="124"/>
      <c r="CF115" s="124"/>
      <c r="CG115" s="124"/>
      <c r="CH115" s="124"/>
      <c r="CI115" s="124"/>
      <c r="CJ115" s="124"/>
      <c r="CK115" s="124"/>
      <c r="CL115" s="124"/>
      <c r="CM115" s="124"/>
      <c r="CN115" s="124"/>
      <c r="CO115" s="124"/>
      <c r="CP115" s="124"/>
      <c r="CQ115" s="124"/>
      <c r="CR115" s="124"/>
      <c r="CS115" s="124"/>
      <c r="CT115" s="124"/>
      <c r="CU115" s="124"/>
      <c r="CV115" s="124"/>
      <c r="CW115" s="124"/>
      <c r="CX115" s="124"/>
      <c r="CY115" s="124"/>
      <c r="CZ115" s="124"/>
      <c r="DA115" s="124"/>
      <c r="DB115" s="124"/>
      <c r="DC115" s="124"/>
      <c r="DD115" s="124"/>
      <c r="DE115" s="124"/>
      <c r="DF115" s="124"/>
    </row>
    <row r="116" spans="1:110" s="125" customFormat="1" ht="36" customHeight="1">
      <c r="A116" s="155">
        <v>3</v>
      </c>
      <c r="B116" s="231" t="s">
        <v>184</v>
      </c>
      <c r="C116" s="231"/>
      <c r="D116" s="231"/>
      <c r="E116" s="231"/>
      <c r="F116" s="231"/>
      <c r="G116" s="232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4"/>
      <c r="AK116" s="124"/>
      <c r="AL116" s="124"/>
      <c r="AM116" s="124"/>
      <c r="AN116" s="124"/>
      <c r="AO116" s="124"/>
      <c r="AP116" s="124"/>
      <c r="AQ116" s="124"/>
      <c r="AR116" s="124"/>
      <c r="AS116" s="124"/>
      <c r="AT116" s="124"/>
      <c r="AU116" s="124"/>
      <c r="AV116" s="124"/>
      <c r="AW116" s="124"/>
      <c r="AX116" s="124"/>
      <c r="AY116" s="124"/>
      <c r="AZ116" s="124"/>
      <c r="BA116" s="124"/>
      <c r="BB116" s="124"/>
      <c r="BC116" s="124"/>
      <c r="BD116" s="124"/>
      <c r="BE116" s="124"/>
      <c r="BF116" s="124"/>
      <c r="BG116" s="124"/>
      <c r="BH116" s="124"/>
      <c r="BI116" s="124"/>
      <c r="BJ116" s="124"/>
      <c r="BK116" s="124"/>
      <c r="BL116" s="124"/>
      <c r="BM116" s="124"/>
      <c r="BN116" s="124"/>
      <c r="BO116" s="124"/>
      <c r="BP116" s="124"/>
      <c r="BQ116" s="124"/>
      <c r="BR116" s="124"/>
      <c r="BS116" s="124"/>
      <c r="BT116" s="124"/>
      <c r="BU116" s="124"/>
      <c r="BV116" s="124"/>
      <c r="BW116" s="124"/>
      <c r="BX116" s="124"/>
      <c r="BY116" s="124"/>
      <c r="BZ116" s="124"/>
      <c r="CA116" s="124"/>
      <c r="CB116" s="124"/>
      <c r="CC116" s="124"/>
      <c r="CD116" s="124"/>
      <c r="CE116" s="124"/>
      <c r="CF116" s="124"/>
      <c r="CG116" s="124"/>
      <c r="CH116" s="124"/>
      <c r="CI116" s="124"/>
      <c r="CJ116" s="124"/>
      <c r="CK116" s="124"/>
      <c r="CL116" s="124"/>
      <c r="CM116" s="124"/>
      <c r="CN116" s="124"/>
      <c r="CO116" s="124"/>
      <c r="CP116" s="124"/>
      <c r="CQ116" s="124"/>
      <c r="CR116" s="124"/>
      <c r="CS116" s="124"/>
      <c r="CT116" s="124"/>
      <c r="CU116" s="124"/>
      <c r="CV116" s="124"/>
      <c r="CW116" s="124"/>
      <c r="CX116" s="124"/>
      <c r="CY116" s="124"/>
      <c r="CZ116" s="124"/>
      <c r="DA116" s="124"/>
      <c r="DB116" s="124"/>
      <c r="DC116" s="124"/>
      <c r="DD116" s="124"/>
      <c r="DE116" s="124"/>
      <c r="DF116" s="124"/>
    </row>
    <row r="117" spans="1:110" s="125" customFormat="1" ht="75" customHeight="1">
      <c r="A117" s="155">
        <v>4</v>
      </c>
      <c r="B117" s="144" t="s">
        <v>98</v>
      </c>
      <c r="C117" s="144"/>
      <c r="D117" s="144"/>
      <c r="E117" s="144"/>
      <c r="F117" s="144"/>
      <c r="G117" s="156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  <c r="AT117" s="124"/>
      <c r="AU117" s="124"/>
      <c r="AV117" s="124"/>
      <c r="AW117" s="124"/>
      <c r="AX117" s="124"/>
      <c r="AY117" s="124"/>
      <c r="AZ117" s="124"/>
      <c r="BA117" s="124"/>
      <c r="BB117" s="124"/>
      <c r="BC117" s="124"/>
      <c r="BD117" s="124"/>
      <c r="BE117" s="124"/>
      <c r="BF117" s="124"/>
      <c r="BG117" s="124"/>
      <c r="BH117" s="124"/>
      <c r="BI117" s="124"/>
      <c r="BJ117" s="124"/>
      <c r="BK117" s="124"/>
      <c r="BL117" s="124"/>
      <c r="BM117" s="124"/>
      <c r="BN117" s="124"/>
      <c r="BO117" s="124"/>
      <c r="BP117" s="124"/>
      <c r="BQ117" s="124"/>
      <c r="BR117" s="124"/>
      <c r="BS117" s="124"/>
      <c r="BT117" s="124"/>
      <c r="BU117" s="124"/>
      <c r="BV117" s="124"/>
      <c r="BW117" s="124"/>
      <c r="BX117" s="124"/>
      <c r="BY117" s="124"/>
      <c r="BZ117" s="124"/>
      <c r="CA117" s="124"/>
      <c r="CB117" s="124"/>
      <c r="CC117" s="124"/>
      <c r="CD117" s="124"/>
      <c r="CE117" s="124"/>
      <c r="CF117" s="124"/>
      <c r="CG117" s="124"/>
      <c r="CH117" s="124"/>
      <c r="CI117" s="124"/>
      <c r="CJ117" s="124"/>
      <c r="CK117" s="124"/>
      <c r="CL117" s="124"/>
      <c r="CM117" s="124"/>
      <c r="CN117" s="124"/>
      <c r="CO117" s="124"/>
      <c r="CP117" s="124"/>
      <c r="CQ117" s="124"/>
      <c r="CR117" s="124"/>
      <c r="CS117" s="124"/>
      <c r="CT117" s="124"/>
      <c r="CU117" s="124"/>
      <c r="CV117" s="124"/>
      <c r="CW117" s="124"/>
      <c r="CX117" s="124"/>
      <c r="CY117" s="124"/>
      <c r="CZ117" s="124"/>
      <c r="DA117" s="124"/>
      <c r="DB117" s="124"/>
      <c r="DC117" s="124"/>
      <c r="DD117" s="124"/>
      <c r="DE117" s="124"/>
      <c r="DF117" s="124"/>
    </row>
    <row r="118" spans="1:110" s="125" customFormat="1" ht="30">
      <c r="A118" s="155">
        <v>5</v>
      </c>
      <c r="B118" s="144" t="s">
        <v>99</v>
      </c>
      <c r="C118" s="144"/>
      <c r="D118" s="144"/>
      <c r="E118" s="144"/>
      <c r="F118" s="144"/>
      <c r="G118" s="156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  <c r="AN118" s="124"/>
      <c r="AO118" s="124"/>
      <c r="AP118" s="124"/>
      <c r="AQ118" s="124"/>
      <c r="AR118" s="124"/>
      <c r="AS118" s="124"/>
      <c r="AT118" s="124"/>
      <c r="AU118" s="124"/>
      <c r="AV118" s="124"/>
      <c r="AW118" s="124"/>
      <c r="AX118" s="124"/>
      <c r="AY118" s="124"/>
      <c r="AZ118" s="124"/>
      <c r="BA118" s="124"/>
      <c r="BB118" s="124"/>
      <c r="BC118" s="124"/>
      <c r="BD118" s="124"/>
      <c r="BE118" s="124"/>
      <c r="BF118" s="124"/>
      <c r="BG118" s="124"/>
      <c r="BH118" s="124"/>
      <c r="BI118" s="124"/>
      <c r="BJ118" s="124"/>
      <c r="BK118" s="124"/>
      <c r="BL118" s="124"/>
      <c r="BM118" s="124"/>
      <c r="BN118" s="124"/>
      <c r="BO118" s="124"/>
      <c r="BP118" s="124"/>
      <c r="BQ118" s="124"/>
      <c r="BR118" s="124"/>
      <c r="BS118" s="124"/>
      <c r="BT118" s="124"/>
      <c r="BU118" s="124"/>
      <c r="BV118" s="124"/>
      <c r="BW118" s="124"/>
      <c r="BX118" s="124"/>
      <c r="BY118" s="124"/>
      <c r="BZ118" s="124"/>
      <c r="CA118" s="124"/>
      <c r="CB118" s="124"/>
      <c r="CC118" s="124"/>
      <c r="CD118" s="124"/>
      <c r="CE118" s="124"/>
      <c r="CF118" s="124"/>
      <c r="CG118" s="124"/>
      <c r="CH118" s="124"/>
      <c r="CI118" s="124"/>
      <c r="CJ118" s="124"/>
      <c r="CK118" s="124"/>
      <c r="CL118" s="124"/>
      <c r="CM118" s="124"/>
      <c r="CN118" s="124"/>
      <c r="CO118" s="124"/>
      <c r="CP118" s="124"/>
      <c r="CQ118" s="124"/>
      <c r="CR118" s="124"/>
      <c r="CS118" s="124"/>
      <c r="CT118" s="124"/>
      <c r="CU118" s="124"/>
      <c r="CV118" s="124"/>
      <c r="CW118" s="124"/>
      <c r="CX118" s="124"/>
      <c r="CY118" s="124"/>
      <c r="CZ118" s="124"/>
      <c r="DA118" s="124"/>
      <c r="DB118" s="124"/>
      <c r="DC118" s="124"/>
      <c r="DD118" s="124"/>
      <c r="DE118" s="124"/>
      <c r="DF118" s="124"/>
    </row>
    <row r="119" spans="1:110" ht="15">
      <c r="A119" s="155">
        <v>6</v>
      </c>
      <c r="B119" s="231" t="s">
        <v>185</v>
      </c>
      <c r="C119" s="231"/>
      <c r="D119" s="231"/>
      <c r="E119" s="231"/>
      <c r="F119" s="231"/>
      <c r="G119" s="232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</row>
    <row r="120" spans="1:110" ht="20.399999999999999">
      <c r="A120" s="187"/>
      <c r="B120" s="188"/>
      <c r="C120" s="189"/>
      <c r="D120" s="189"/>
      <c r="E120" s="189"/>
      <c r="F120" s="189"/>
      <c r="G120" s="19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</row>
    <row r="121" spans="1:110" ht="18">
      <c r="A121" s="191"/>
      <c r="B121" s="153"/>
      <c r="C121" s="153"/>
      <c r="D121" s="153"/>
      <c r="E121" s="153"/>
      <c r="F121" s="153"/>
      <c r="G121" s="192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</row>
    <row r="122" spans="1:110" ht="18">
      <c r="A122" s="191"/>
      <c r="B122" s="153"/>
      <c r="C122" s="153"/>
      <c r="D122" s="153"/>
      <c r="E122"/>
      <c r="F122"/>
      <c r="G122" s="193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</row>
    <row r="123" spans="1:110" ht="18">
      <c r="A123" s="191"/>
      <c r="B123" s="154"/>
      <c r="C123" s="153"/>
      <c r="D123" s="153"/>
      <c r="E123" s="195"/>
      <c r="F123" s="195"/>
      <c r="G123" s="19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</row>
    <row r="124" spans="1:110" ht="18">
      <c r="A124" s="194"/>
      <c r="B124" s="154"/>
      <c r="C124" s="153"/>
      <c r="D124" s="153"/>
      <c r="E124" s="195"/>
      <c r="F124" s="195"/>
      <c r="G124" s="196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</row>
    <row r="125" spans="1:110" ht="18">
      <c r="A125" s="194"/>
      <c r="B125" s="153"/>
      <c r="C125" s="153"/>
      <c r="D125" s="195"/>
      <c r="E125" s="195"/>
      <c r="F125" s="195"/>
      <c r="G125" s="196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</row>
    <row r="126" spans="1:110" ht="21.6">
      <c r="A126" s="197"/>
      <c r="B126" s="198"/>
      <c r="C126" s="199"/>
      <c r="D126" s="199"/>
      <c r="E126" s="200"/>
      <c r="F126" s="200"/>
      <c r="G126" s="201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</row>
    <row r="127" spans="1:110" ht="18.600000000000001" thickBot="1">
      <c r="A127" s="202"/>
      <c r="B127" s="203"/>
      <c r="C127" s="204"/>
      <c r="D127" s="204"/>
      <c r="E127" s="205"/>
      <c r="F127" s="205"/>
      <c r="G127" s="206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</row>
    <row r="128" spans="1:110" ht="18">
      <c r="A128" s="11"/>
      <c r="B128" s="154"/>
      <c r="C128"/>
      <c r="D128"/>
      <c r="G128" s="3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</row>
    <row r="129" spans="1:47" ht="14.4">
      <c r="A129" s="11"/>
      <c r="C129" s="18"/>
      <c r="G129" s="3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</row>
    <row r="130" spans="1:47" ht="14.4">
      <c r="A130" s="11"/>
      <c r="C130" s="18"/>
      <c r="G130" s="3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</row>
    <row r="131" spans="1:47" ht="14.4">
      <c r="A131" s="11"/>
      <c r="C131" s="18"/>
      <c r="G131" s="3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</row>
    <row r="132" spans="1:47" ht="14.4">
      <c r="A132" s="11"/>
      <c r="C132" s="18"/>
      <c r="G132" s="3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</row>
    <row r="133" spans="1:47" ht="14.4">
      <c r="A133" s="11"/>
      <c r="C133" s="18"/>
      <c r="G133" s="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</row>
    <row r="134" spans="1:47" ht="14.4">
      <c r="A134" s="11"/>
      <c r="C134" s="18"/>
      <c r="G134" s="3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</row>
    <row r="135" spans="1:47" ht="14.4">
      <c r="A135" s="11"/>
      <c r="C135" s="18"/>
      <c r="G135" s="3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</row>
    <row r="136" spans="1:47" ht="14.4">
      <c r="A136" s="11"/>
      <c r="C136" s="18"/>
      <c r="G136" s="3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</row>
    <row r="137" spans="1:47" ht="14.4">
      <c r="A137" s="11"/>
      <c r="C137" s="18"/>
      <c r="G137" s="3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</row>
    <row r="138" spans="1:47" ht="14.4">
      <c r="A138" s="11"/>
      <c r="C138" s="18"/>
      <c r="G138" s="3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</row>
    <row r="139" spans="1:47" ht="14.4">
      <c r="A139" s="11"/>
      <c r="C139" s="18"/>
      <c r="G139" s="3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</row>
    <row r="140" spans="1:47" ht="14.4">
      <c r="A140" s="11"/>
      <c r="C140" s="18"/>
      <c r="G140" s="3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</row>
    <row r="141" spans="1:47" ht="14.4">
      <c r="A141" s="11"/>
      <c r="C141" s="18"/>
      <c r="G141" s="3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</row>
    <row r="142" spans="1:47" ht="14.4">
      <c r="A142" s="11"/>
      <c r="C142" s="18"/>
      <c r="G142" s="3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</row>
    <row r="143" spans="1:47" ht="14.4">
      <c r="A143" s="11"/>
      <c r="C143" s="18"/>
      <c r="G143" s="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</row>
    <row r="144" spans="1:47" ht="14.4">
      <c r="A144" s="11"/>
      <c r="C144" s="18"/>
      <c r="G144" s="3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</row>
    <row r="145" spans="1:47" ht="14.4">
      <c r="A145" s="11"/>
      <c r="C145" s="18"/>
      <c r="G145" s="3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</row>
    <row r="146" spans="1:47" ht="14.4">
      <c r="A146" s="11"/>
      <c r="C146" s="18"/>
      <c r="G146" s="3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</row>
    <row r="147" spans="1:47" ht="14.4">
      <c r="A147" s="11"/>
      <c r="G147" s="3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</row>
    <row r="148" spans="1:47" ht="14.4">
      <c r="A148" s="11"/>
      <c r="G148" s="3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</row>
    <row r="149" spans="1:47" ht="14.4">
      <c r="A149" s="11"/>
      <c r="G149" s="3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</row>
    <row r="150" spans="1:47" ht="14.4">
      <c r="A150" s="11"/>
      <c r="G150" s="3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</row>
    <row r="151" spans="1:47" ht="14.4">
      <c r="A151" s="11"/>
      <c r="G151" s="3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</row>
    <row r="152" spans="1:47" ht="14.4">
      <c r="A152" s="11"/>
      <c r="G152" s="3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</row>
    <row r="153" spans="1:47" ht="14.4">
      <c r="A153" s="11"/>
      <c r="G153" s="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</row>
    <row r="154" spans="1:47" ht="14.4">
      <c r="A154" s="11"/>
      <c r="G154" s="3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</row>
    <row r="155" spans="1:47" ht="14.4">
      <c r="A155" s="11"/>
      <c r="G155" s="3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</row>
    <row r="156" spans="1:47" ht="14.4">
      <c r="A156" s="11"/>
      <c r="G156" s="3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</row>
    <row r="157" spans="1:47" ht="14.4">
      <c r="A157" s="11"/>
      <c r="G157" s="3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</row>
    <row r="158" spans="1:47" ht="14.4">
      <c r="A158" s="11"/>
      <c r="G158" s="3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</row>
    <row r="159" spans="1:47" ht="14.4">
      <c r="A159" s="11"/>
      <c r="G159" s="3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</row>
    <row r="160" spans="1:47" ht="14.4">
      <c r="A160" s="11"/>
      <c r="G160" s="3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</row>
    <row r="161" spans="1:47" ht="14.4">
      <c r="A161" s="11"/>
      <c r="G161" s="3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</row>
    <row r="162" spans="1:47" ht="14.4">
      <c r="A162" s="11"/>
      <c r="G162" s="3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</row>
    <row r="163" spans="1:47" ht="14.4">
      <c r="A163" s="11"/>
      <c r="G163" s="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</row>
    <row r="164" spans="1:47" ht="14.4">
      <c r="A164" s="11"/>
      <c r="G164" s="3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</row>
    <row r="165" spans="1:47" ht="14.4">
      <c r="A165" s="11"/>
      <c r="G165" s="3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</row>
    <row r="166" spans="1:47">
      <c r="A166" s="11"/>
      <c r="G166" s="3"/>
    </row>
    <row r="167" spans="1:47">
      <c r="A167" s="11"/>
      <c r="G167" s="3"/>
    </row>
    <row r="168" spans="1:47">
      <c r="A168" s="11"/>
      <c r="G168" s="3"/>
    </row>
    <row r="169" spans="1:47">
      <c r="A169" s="11"/>
      <c r="G169" s="3"/>
    </row>
    <row r="170" spans="1:47">
      <c r="A170" s="11"/>
      <c r="G170" s="3"/>
    </row>
    <row r="171" spans="1:47">
      <c r="A171" s="11"/>
      <c r="G171" s="3"/>
    </row>
    <row r="172" spans="1:47">
      <c r="A172" s="11"/>
      <c r="G172" s="3"/>
    </row>
    <row r="173" spans="1:47">
      <c r="A173" s="11"/>
      <c r="G173" s="3"/>
    </row>
    <row r="174" spans="1:47">
      <c r="A174" s="11"/>
      <c r="G174" s="3"/>
    </row>
    <row r="175" spans="1:47">
      <c r="A175" s="11"/>
      <c r="G175" s="3"/>
    </row>
    <row r="176" spans="1:47">
      <c r="A176" s="11"/>
      <c r="G176" s="3"/>
    </row>
    <row r="177" spans="1:7">
      <c r="A177" s="11"/>
      <c r="G177" s="3"/>
    </row>
    <row r="178" spans="1:7">
      <c r="A178" s="11"/>
      <c r="G178" s="3"/>
    </row>
    <row r="179" spans="1:7">
      <c r="A179" s="11"/>
      <c r="G179" s="3"/>
    </row>
    <row r="180" spans="1:7">
      <c r="A180" s="11"/>
      <c r="G180" s="3"/>
    </row>
    <row r="181" spans="1:7">
      <c r="A181" s="11"/>
      <c r="G181" s="3"/>
    </row>
    <row r="182" spans="1:7">
      <c r="A182" s="11"/>
      <c r="G182" s="3"/>
    </row>
    <row r="183" spans="1:7">
      <c r="A183" s="11"/>
      <c r="G183" s="3"/>
    </row>
    <row r="184" spans="1:7">
      <c r="A184" s="11"/>
      <c r="G184" s="3"/>
    </row>
    <row r="185" spans="1:7">
      <c r="A185" s="11"/>
      <c r="G185" s="3"/>
    </row>
    <row r="186" spans="1:7">
      <c r="A186" s="11"/>
      <c r="G186" s="3"/>
    </row>
    <row r="187" spans="1:7">
      <c r="A187" s="11"/>
      <c r="G187" s="3"/>
    </row>
    <row r="188" spans="1:7">
      <c r="A188" s="11"/>
      <c r="G188" s="3"/>
    </row>
    <row r="189" spans="1:7">
      <c r="A189" s="11"/>
      <c r="G189" s="3"/>
    </row>
    <row r="190" spans="1:7">
      <c r="A190" s="11"/>
      <c r="G190" s="3"/>
    </row>
    <row r="191" spans="1:7">
      <c r="A191" s="11"/>
      <c r="G191" s="3"/>
    </row>
    <row r="192" spans="1:7">
      <c r="A192" s="11"/>
      <c r="G192" s="3"/>
    </row>
    <row r="193" spans="1:7">
      <c r="A193" s="11"/>
      <c r="G193" s="3"/>
    </row>
    <row r="194" spans="1:7">
      <c r="A194" s="11"/>
      <c r="G194" s="3"/>
    </row>
    <row r="195" spans="1:7">
      <c r="A195" s="11"/>
      <c r="G195" s="3"/>
    </row>
    <row r="196" spans="1:7">
      <c r="A196" s="11"/>
      <c r="G196" s="3"/>
    </row>
    <row r="197" spans="1:7">
      <c r="A197" s="11"/>
      <c r="G197" s="3"/>
    </row>
    <row r="198" spans="1:7">
      <c r="A198" s="11"/>
      <c r="G198" s="3"/>
    </row>
    <row r="199" spans="1:7">
      <c r="A199" s="11"/>
      <c r="G199" s="3"/>
    </row>
    <row r="200" spans="1:7">
      <c r="A200" s="11"/>
      <c r="G200" s="3"/>
    </row>
    <row r="201" spans="1:7">
      <c r="A201" s="11"/>
      <c r="G201" s="3"/>
    </row>
    <row r="202" spans="1:7">
      <c r="A202" s="11"/>
      <c r="G202" s="3"/>
    </row>
    <row r="203" spans="1:7">
      <c r="A203" s="11"/>
      <c r="G203" s="3"/>
    </row>
    <row r="204" spans="1:7">
      <c r="A204" s="11"/>
      <c r="G204" s="3"/>
    </row>
    <row r="205" spans="1:7">
      <c r="A205" s="11"/>
      <c r="G205" s="3"/>
    </row>
    <row r="206" spans="1:7">
      <c r="A206" s="11"/>
      <c r="G206" s="3"/>
    </row>
    <row r="207" spans="1:7">
      <c r="A207" s="11"/>
      <c r="G207" s="3"/>
    </row>
    <row r="208" spans="1:7">
      <c r="A208" s="11"/>
      <c r="G208" s="3"/>
    </row>
    <row r="209" spans="1:7">
      <c r="A209" s="11"/>
      <c r="G209" s="3"/>
    </row>
    <row r="210" spans="1:7">
      <c r="A210" s="11"/>
      <c r="G210" s="3"/>
    </row>
    <row r="211" spans="1:7">
      <c r="A211" s="11"/>
      <c r="G211" s="3"/>
    </row>
    <row r="212" spans="1:7">
      <c r="A212" s="11"/>
      <c r="G212" s="3"/>
    </row>
    <row r="213" spans="1:7">
      <c r="A213" s="11"/>
      <c r="G213" s="3"/>
    </row>
    <row r="214" spans="1:7">
      <c r="A214" s="11"/>
      <c r="G214" s="3"/>
    </row>
    <row r="215" spans="1:7">
      <c r="A215" s="11"/>
      <c r="G215" s="3"/>
    </row>
    <row r="216" spans="1:7">
      <c r="A216" s="11"/>
      <c r="G216" s="3"/>
    </row>
    <row r="217" spans="1:7">
      <c r="A217" s="11"/>
      <c r="G217" s="3"/>
    </row>
    <row r="218" spans="1:7">
      <c r="A218" s="11"/>
      <c r="G218" s="3"/>
    </row>
    <row r="219" spans="1:7">
      <c r="A219" s="11"/>
      <c r="G219" s="3"/>
    </row>
    <row r="220" spans="1:7">
      <c r="A220" s="11"/>
      <c r="G220" s="3"/>
    </row>
    <row r="221" spans="1:7">
      <c r="A221" s="11"/>
      <c r="G221" s="3"/>
    </row>
    <row r="222" spans="1:7">
      <c r="A222" s="11"/>
      <c r="G222" s="3"/>
    </row>
    <row r="223" spans="1:7">
      <c r="A223" s="11"/>
      <c r="G223" s="3"/>
    </row>
    <row r="224" spans="1:7">
      <c r="A224" s="11"/>
      <c r="G224" s="3"/>
    </row>
    <row r="225" spans="1:7">
      <c r="A225" s="11"/>
      <c r="G225" s="3"/>
    </row>
    <row r="226" spans="1:7">
      <c r="A226" s="11"/>
      <c r="G226" s="3"/>
    </row>
    <row r="227" spans="1:7">
      <c r="A227" s="11"/>
      <c r="G227" s="3"/>
    </row>
    <row r="228" spans="1:7">
      <c r="A228" s="11"/>
      <c r="G228" s="3"/>
    </row>
    <row r="229" spans="1:7">
      <c r="A229" s="11"/>
      <c r="G229" s="3"/>
    </row>
    <row r="230" spans="1:7">
      <c r="A230" s="11"/>
      <c r="G230" s="3"/>
    </row>
    <row r="231" spans="1:7">
      <c r="A231" s="11"/>
      <c r="G231" s="3"/>
    </row>
    <row r="232" spans="1:7">
      <c r="A232" s="11"/>
      <c r="G232" s="3"/>
    </row>
    <row r="233" spans="1:7">
      <c r="A233" s="11"/>
      <c r="G233" s="3"/>
    </row>
    <row r="234" spans="1:7">
      <c r="A234" s="11"/>
      <c r="G234" s="3"/>
    </row>
    <row r="235" spans="1:7">
      <c r="A235" s="11"/>
      <c r="G235" s="3"/>
    </row>
    <row r="236" spans="1:7">
      <c r="A236" s="11"/>
      <c r="G236" s="3"/>
    </row>
    <row r="237" spans="1:7">
      <c r="A237" s="11"/>
      <c r="G237" s="3"/>
    </row>
    <row r="238" spans="1:7">
      <c r="A238" s="11"/>
      <c r="G238" s="3"/>
    </row>
    <row r="239" spans="1:7">
      <c r="A239" s="11"/>
      <c r="G239" s="3"/>
    </row>
    <row r="240" spans="1:7">
      <c r="A240" s="11"/>
      <c r="G240" s="3"/>
    </row>
    <row r="241" spans="1:7">
      <c r="A241" s="11"/>
      <c r="G241" s="3"/>
    </row>
    <row r="242" spans="1:7">
      <c r="A242" s="11"/>
      <c r="G242" s="3"/>
    </row>
    <row r="243" spans="1:7">
      <c r="A243" s="11"/>
      <c r="G243" s="3"/>
    </row>
    <row r="244" spans="1:7">
      <c r="A244" s="11"/>
      <c r="G244" s="3"/>
    </row>
    <row r="245" spans="1:7">
      <c r="A245" s="11"/>
      <c r="G245" s="3"/>
    </row>
    <row r="246" spans="1:7">
      <c r="A246" s="11"/>
      <c r="G246" s="3"/>
    </row>
    <row r="247" spans="1:7">
      <c r="A247" s="11"/>
      <c r="G247" s="3"/>
    </row>
    <row r="248" spans="1:7">
      <c r="A248" s="11"/>
      <c r="G248" s="3"/>
    </row>
    <row r="249" spans="1:7">
      <c r="A249" s="11"/>
      <c r="G249" s="3"/>
    </row>
    <row r="250" spans="1:7">
      <c r="A250" s="11"/>
      <c r="G250" s="3"/>
    </row>
    <row r="251" spans="1:7">
      <c r="A251" s="11"/>
      <c r="G251" s="3"/>
    </row>
    <row r="252" spans="1:7">
      <c r="A252" s="11"/>
      <c r="G252" s="3"/>
    </row>
    <row r="253" spans="1:7">
      <c r="A253" s="11"/>
      <c r="G253" s="3"/>
    </row>
    <row r="254" spans="1:7">
      <c r="A254" s="11"/>
      <c r="G254" s="3"/>
    </row>
    <row r="255" spans="1:7">
      <c r="A255" s="11"/>
      <c r="G255" s="3"/>
    </row>
    <row r="256" spans="1:7">
      <c r="A256" s="11"/>
      <c r="G256" s="3"/>
    </row>
    <row r="257" spans="1:7">
      <c r="A257" s="11"/>
      <c r="G257" s="3"/>
    </row>
    <row r="258" spans="1:7">
      <c r="A258" s="11"/>
      <c r="G258" s="3"/>
    </row>
    <row r="259" spans="1:7">
      <c r="A259" s="11"/>
      <c r="G259" s="3"/>
    </row>
    <row r="260" spans="1:7">
      <c r="A260" s="11"/>
      <c r="G260" s="3"/>
    </row>
    <row r="261" spans="1:7">
      <c r="A261" s="11"/>
      <c r="G261" s="3"/>
    </row>
    <row r="262" spans="1:7">
      <c r="A262" s="11"/>
      <c r="G262" s="3"/>
    </row>
    <row r="263" spans="1:7">
      <c r="A263" s="11"/>
      <c r="G263" s="3"/>
    </row>
    <row r="264" spans="1:7">
      <c r="A264" s="11"/>
      <c r="G264" s="3"/>
    </row>
    <row r="265" spans="1:7">
      <c r="A265" s="11"/>
      <c r="G265" s="3"/>
    </row>
    <row r="266" spans="1:7">
      <c r="A266" s="11"/>
      <c r="G266" s="3"/>
    </row>
    <row r="267" spans="1:7">
      <c r="A267" s="11"/>
      <c r="G267" s="3"/>
    </row>
    <row r="268" spans="1:7">
      <c r="A268" s="11"/>
      <c r="G268" s="3"/>
    </row>
    <row r="269" spans="1:7">
      <c r="A269" s="11"/>
      <c r="G269" s="3"/>
    </row>
    <row r="270" spans="1:7">
      <c r="A270" s="11"/>
      <c r="G270" s="3"/>
    </row>
    <row r="271" spans="1:7">
      <c r="A271" s="11"/>
      <c r="G271" s="3"/>
    </row>
    <row r="272" spans="1:7">
      <c r="A272" s="11"/>
      <c r="G272" s="3"/>
    </row>
    <row r="273" spans="1:7">
      <c r="A273" s="11"/>
      <c r="G273" s="3"/>
    </row>
    <row r="274" spans="1:7">
      <c r="A274" s="11"/>
      <c r="G274" s="3"/>
    </row>
    <row r="275" spans="1:7">
      <c r="A275" s="11"/>
      <c r="G275" s="3"/>
    </row>
    <row r="276" spans="1:7">
      <c r="A276" s="11"/>
      <c r="G276" s="3"/>
    </row>
    <row r="277" spans="1:7">
      <c r="A277" s="11"/>
      <c r="G277" s="3"/>
    </row>
    <row r="278" spans="1:7">
      <c r="A278" s="11"/>
      <c r="G278" s="3"/>
    </row>
    <row r="279" spans="1:7">
      <c r="A279" s="11"/>
      <c r="G279" s="3"/>
    </row>
    <row r="280" spans="1:7">
      <c r="A280" s="11"/>
      <c r="G280" s="3"/>
    </row>
    <row r="281" spans="1:7">
      <c r="A281" s="11"/>
      <c r="G281" s="3"/>
    </row>
    <row r="282" spans="1:7">
      <c r="A282" s="11"/>
      <c r="G282" s="3"/>
    </row>
    <row r="283" spans="1:7">
      <c r="A283" s="11"/>
      <c r="G283" s="3"/>
    </row>
    <row r="284" spans="1:7">
      <c r="A284" s="11"/>
      <c r="G284" s="3"/>
    </row>
    <row r="285" spans="1:7">
      <c r="A285" s="11"/>
      <c r="G285" s="3"/>
    </row>
    <row r="286" spans="1:7">
      <c r="A286" s="11"/>
      <c r="G286" s="3"/>
    </row>
    <row r="287" spans="1:7">
      <c r="A287" s="11"/>
      <c r="G287" s="3"/>
    </row>
    <row r="288" spans="1:7">
      <c r="A288" s="11"/>
      <c r="G288" s="3"/>
    </row>
    <row r="289" spans="1:7">
      <c r="A289" s="11"/>
      <c r="G289" s="3"/>
    </row>
    <row r="290" spans="1:7">
      <c r="A290" s="11"/>
      <c r="G290" s="3"/>
    </row>
    <row r="291" spans="1:7">
      <c r="A291" s="11"/>
      <c r="G291" s="3"/>
    </row>
    <row r="292" spans="1:7">
      <c r="A292" s="11"/>
      <c r="G292" s="3"/>
    </row>
    <row r="293" spans="1:7">
      <c r="A293" s="11"/>
      <c r="G293" s="3"/>
    </row>
    <row r="294" spans="1:7">
      <c r="A294" s="11"/>
      <c r="G294" s="3"/>
    </row>
    <row r="295" spans="1:7">
      <c r="A295" s="11"/>
      <c r="G295" s="3"/>
    </row>
    <row r="296" spans="1:7">
      <c r="A296" s="11"/>
      <c r="G296" s="3"/>
    </row>
    <row r="297" spans="1:7">
      <c r="A297" s="11"/>
      <c r="G297" s="3"/>
    </row>
    <row r="298" spans="1:7">
      <c r="A298" s="11"/>
      <c r="G298" s="3"/>
    </row>
    <row r="299" spans="1:7">
      <c r="A299" s="11"/>
      <c r="G299" s="3"/>
    </row>
    <row r="300" spans="1:7">
      <c r="A300" s="11"/>
      <c r="G300" s="3"/>
    </row>
    <row r="301" spans="1:7">
      <c r="A301" s="11"/>
      <c r="G301" s="3"/>
    </row>
    <row r="302" spans="1:7">
      <c r="A302" s="11"/>
      <c r="G302" s="3"/>
    </row>
    <row r="303" spans="1:7">
      <c r="A303" s="11"/>
      <c r="G303" s="3"/>
    </row>
    <row r="304" spans="1:7">
      <c r="A304" s="11"/>
      <c r="G304" s="3"/>
    </row>
    <row r="305" spans="1:7">
      <c r="A305" s="11"/>
      <c r="G305" s="3"/>
    </row>
    <row r="306" spans="1:7">
      <c r="A306" s="11"/>
      <c r="G306" s="3"/>
    </row>
    <row r="307" spans="1:7">
      <c r="A307" s="11"/>
      <c r="G307" s="3"/>
    </row>
    <row r="308" spans="1:7">
      <c r="A308" s="11"/>
      <c r="G308" s="3"/>
    </row>
    <row r="309" spans="1:7">
      <c r="A309" s="11"/>
      <c r="G309" s="3"/>
    </row>
    <row r="310" spans="1:7">
      <c r="A310" s="11"/>
      <c r="G310" s="3"/>
    </row>
    <row r="311" spans="1:7">
      <c r="A311" s="11"/>
      <c r="G311" s="3"/>
    </row>
    <row r="312" spans="1:7">
      <c r="A312" s="11"/>
      <c r="G312" s="3"/>
    </row>
    <row r="313" spans="1:7">
      <c r="A313" s="11"/>
      <c r="G313" s="3"/>
    </row>
    <row r="314" spans="1:7">
      <c r="A314" s="11"/>
      <c r="G314" s="3"/>
    </row>
    <row r="315" spans="1:7">
      <c r="A315" s="11"/>
      <c r="G315" s="3"/>
    </row>
    <row r="316" spans="1:7">
      <c r="A316" s="11"/>
      <c r="G316" s="3"/>
    </row>
    <row r="317" spans="1:7">
      <c r="A317" s="11"/>
      <c r="G317" s="3"/>
    </row>
    <row r="318" spans="1:7">
      <c r="A318" s="11"/>
      <c r="G318" s="3"/>
    </row>
    <row r="319" spans="1:7">
      <c r="A319" s="11"/>
      <c r="G319" s="3"/>
    </row>
    <row r="320" spans="1:7">
      <c r="A320" s="11"/>
      <c r="G320" s="3"/>
    </row>
    <row r="321" spans="1:7">
      <c r="A321" s="11"/>
      <c r="G321" s="3"/>
    </row>
  </sheetData>
  <protectedRanges>
    <protectedRange sqref="E38" name="Range1_3_1_2"/>
    <protectedRange sqref="E61:E75" name="Range1_3_2"/>
  </protectedRanges>
  <mergeCells count="15">
    <mergeCell ref="A10:G10"/>
    <mergeCell ref="A11:G11"/>
    <mergeCell ref="C12:G12"/>
    <mergeCell ref="C16:E16"/>
    <mergeCell ref="B112:G112"/>
    <mergeCell ref="A109:G109"/>
    <mergeCell ref="B119:G119"/>
    <mergeCell ref="E13:G13"/>
    <mergeCell ref="E15:G15"/>
    <mergeCell ref="E14:F14"/>
    <mergeCell ref="B113:G113"/>
    <mergeCell ref="B114:G114"/>
    <mergeCell ref="B115:G115"/>
    <mergeCell ref="B116:G116"/>
    <mergeCell ref="E110:G110"/>
  </mergeCells>
  <printOptions horizontalCentered="1"/>
  <pageMargins left="0.23622047244094499" right="0.23622047244094499" top="0.57999999999999996" bottom="0.57999999999999996" header="0.31496062992126" footer="0.31496062992126"/>
  <pageSetup scale="56" fitToHeight="0" orientation="portrait" r:id="rId1"/>
  <headerFooter alignWithMargins="0">
    <oddFooter>&amp;LPágina &amp;P de &amp;N</oddFooter>
  </headerFooter>
  <rowBreaks count="2" manualBreakCount="2">
    <brk id="49" max="6" man="1"/>
    <brk id="89" max="6" man="1"/>
  </rowBreaks>
  <colBreaks count="1" manualBreakCount="1">
    <brk id="1" min="2" max="9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49"/>
  <sheetViews>
    <sheetView workbookViewId="0">
      <selection activeCell="E6" sqref="E6"/>
    </sheetView>
  </sheetViews>
  <sheetFormatPr baseColWidth="10" defaultRowHeight="14.4"/>
  <cols>
    <col min="2" max="2" width="42.88671875" customWidth="1"/>
    <col min="3" max="3" width="12.6640625" customWidth="1"/>
    <col min="4" max="4" width="9.6640625" customWidth="1"/>
  </cols>
  <sheetData>
    <row r="2" spans="2:7">
      <c r="B2" t="s">
        <v>218</v>
      </c>
      <c r="F2" s="224"/>
    </row>
    <row r="3" spans="2:7">
      <c r="B3" t="s">
        <v>219</v>
      </c>
      <c r="C3" s="88">
        <v>2.8</v>
      </c>
      <c r="D3" s="223" t="s">
        <v>220</v>
      </c>
      <c r="E3" s="88"/>
      <c r="F3" s="223"/>
      <c r="G3" s="88"/>
    </row>
    <row r="4" spans="2:7">
      <c r="B4" t="s">
        <v>221</v>
      </c>
      <c r="C4" s="88">
        <v>0.3</v>
      </c>
      <c r="D4" s="223" t="s">
        <v>220</v>
      </c>
      <c r="E4" s="88"/>
      <c r="F4" s="223"/>
      <c r="G4" s="88"/>
    </row>
    <row r="5" spans="2:7">
      <c r="B5" t="s">
        <v>222</v>
      </c>
      <c r="C5" s="88">
        <f>2.1/0.3</f>
        <v>7.0000000000000009</v>
      </c>
      <c r="D5" s="223" t="s">
        <v>20</v>
      </c>
      <c r="E5" s="88"/>
      <c r="F5" s="223"/>
      <c r="G5" s="88"/>
    </row>
    <row r="6" spans="2:7">
      <c r="B6" t="s">
        <v>223</v>
      </c>
      <c r="C6" s="88">
        <f>2.7*2+1.26</f>
        <v>6.66</v>
      </c>
      <c r="D6" s="223" t="s">
        <v>220</v>
      </c>
      <c r="E6" s="88">
        <f>C6*3.28</f>
        <v>21.844799999999999</v>
      </c>
      <c r="F6" s="223" t="s">
        <v>224</v>
      </c>
      <c r="G6" s="88"/>
    </row>
    <row r="7" spans="2:7">
      <c r="C7" s="88"/>
      <c r="D7" s="223"/>
      <c r="E7" s="88"/>
      <c r="F7" s="223"/>
      <c r="G7" s="88"/>
    </row>
    <row r="8" spans="2:7">
      <c r="C8" s="88"/>
      <c r="D8" s="223"/>
      <c r="E8" s="88"/>
      <c r="F8" s="223"/>
      <c r="G8" s="88"/>
    </row>
    <row r="9" spans="2:7">
      <c r="C9" s="88"/>
      <c r="D9" s="223"/>
      <c r="E9" s="88"/>
      <c r="F9" s="223"/>
      <c r="G9" s="88"/>
    </row>
    <row r="10" spans="2:7">
      <c r="C10" s="88"/>
      <c r="D10" s="223"/>
      <c r="E10" s="88"/>
      <c r="F10" s="223"/>
      <c r="G10" s="88"/>
    </row>
    <row r="11" spans="2:7">
      <c r="C11" s="88"/>
      <c r="D11" s="223"/>
      <c r="E11" s="88"/>
      <c r="F11" s="223"/>
      <c r="G11" s="88"/>
    </row>
    <row r="12" spans="2:7">
      <c r="C12" s="88"/>
      <c r="D12" s="223"/>
      <c r="E12" s="88"/>
      <c r="F12" s="223"/>
      <c r="G12" s="88"/>
    </row>
    <row r="13" spans="2:7">
      <c r="C13" s="88"/>
      <c r="D13" s="223"/>
      <c r="E13" s="88"/>
      <c r="F13" s="223"/>
      <c r="G13" s="88"/>
    </row>
    <row r="14" spans="2:7">
      <c r="C14" s="88"/>
      <c r="D14" s="223"/>
      <c r="E14" s="88"/>
      <c r="F14" s="223"/>
      <c r="G14" s="88"/>
    </row>
    <row r="15" spans="2:7">
      <c r="C15" s="88"/>
      <c r="D15" s="223"/>
      <c r="E15" s="88"/>
      <c r="F15" s="223"/>
      <c r="G15" s="88"/>
    </row>
    <row r="16" spans="2:7">
      <c r="C16" s="88"/>
      <c r="D16" s="223"/>
      <c r="E16" s="88"/>
      <c r="F16" s="223"/>
      <c r="G16" s="88"/>
    </row>
    <row r="17" spans="3:7">
      <c r="C17" s="88"/>
      <c r="D17" s="223"/>
      <c r="E17" s="88"/>
      <c r="F17" s="223"/>
      <c r="G17" s="88"/>
    </row>
    <row r="18" spans="3:7">
      <c r="C18" s="88"/>
      <c r="D18" s="223"/>
      <c r="E18" s="88"/>
      <c r="F18" s="223"/>
      <c r="G18" s="88"/>
    </row>
    <row r="19" spans="3:7">
      <c r="C19" s="88"/>
      <c r="D19" s="223"/>
      <c r="E19" s="88"/>
      <c r="F19" s="88"/>
      <c r="G19" s="88"/>
    </row>
    <row r="20" spans="3:7">
      <c r="C20" s="88"/>
      <c r="D20" s="223"/>
      <c r="E20" s="88"/>
      <c r="F20" s="88"/>
      <c r="G20" s="88"/>
    </row>
    <row r="21" spans="3:7">
      <c r="C21" s="88"/>
      <c r="D21" s="223"/>
      <c r="E21" s="88"/>
      <c r="F21" s="88"/>
      <c r="G21" s="88"/>
    </row>
    <row r="22" spans="3:7">
      <c r="C22" s="88"/>
      <c r="D22" s="223"/>
      <c r="E22" s="88"/>
      <c r="F22" s="88"/>
      <c r="G22" s="88"/>
    </row>
    <row r="23" spans="3:7">
      <c r="C23" s="88"/>
      <c r="D23" s="223"/>
      <c r="E23" s="88"/>
      <c r="F23" s="88"/>
      <c r="G23" s="88"/>
    </row>
    <row r="24" spans="3:7">
      <c r="C24" s="88"/>
      <c r="D24" s="223"/>
      <c r="E24" s="88"/>
      <c r="F24" s="88"/>
      <c r="G24" s="88"/>
    </row>
    <row r="25" spans="3:7">
      <c r="C25" s="88"/>
      <c r="D25" s="223"/>
      <c r="E25" s="88"/>
      <c r="F25" s="88"/>
      <c r="G25" s="88"/>
    </row>
    <row r="26" spans="3:7">
      <c r="C26" s="88"/>
      <c r="D26" s="223"/>
      <c r="E26" s="88"/>
      <c r="F26" s="88"/>
      <c r="G26" s="88"/>
    </row>
    <row r="27" spans="3:7">
      <c r="C27" s="88"/>
      <c r="D27" s="88"/>
      <c r="E27" s="88"/>
      <c r="F27" s="88"/>
      <c r="G27" s="88"/>
    </row>
    <row r="28" spans="3:7">
      <c r="C28" s="88"/>
      <c r="D28" s="88"/>
      <c r="E28" s="88"/>
      <c r="F28" s="88"/>
      <c r="G28" s="88"/>
    </row>
    <row r="29" spans="3:7">
      <c r="C29" s="88"/>
      <c r="D29" s="88"/>
      <c r="E29" s="88"/>
      <c r="F29" s="88"/>
      <c r="G29" s="88"/>
    </row>
    <row r="30" spans="3:7">
      <c r="C30" s="88"/>
      <c r="D30" s="88"/>
      <c r="E30" s="88"/>
      <c r="F30" s="88"/>
      <c r="G30" s="88"/>
    </row>
    <row r="31" spans="3:7">
      <c r="C31" s="88"/>
      <c r="D31" s="88"/>
      <c r="E31" s="88"/>
      <c r="F31" s="88"/>
      <c r="G31" s="88"/>
    </row>
    <row r="32" spans="3:7">
      <c r="C32" s="88"/>
      <c r="D32" s="88"/>
      <c r="E32" s="88"/>
      <c r="F32" s="88"/>
      <c r="G32" s="88"/>
    </row>
    <row r="33" spans="3:7">
      <c r="C33" s="88"/>
      <c r="D33" s="88"/>
      <c r="E33" s="88"/>
      <c r="F33" s="88"/>
      <c r="G33" s="88"/>
    </row>
    <row r="34" spans="3:7">
      <c r="C34" s="88"/>
      <c r="D34" s="88"/>
      <c r="E34" s="88"/>
      <c r="F34" s="88"/>
      <c r="G34" s="88"/>
    </row>
    <row r="35" spans="3:7">
      <c r="C35" s="88"/>
      <c r="D35" s="88"/>
      <c r="E35" s="88"/>
      <c r="F35" s="88"/>
      <c r="G35" s="88"/>
    </row>
    <row r="36" spans="3:7">
      <c r="C36" s="88"/>
      <c r="D36" s="88"/>
      <c r="E36" s="88"/>
      <c r="F36" s="88"/>
      <c r="G36" s="88"/>
    </row>
    <row r="37" spans="3:7">
      <c r="C37" s="88"/>
      <c r="D37" s="88"/>
      <c r="E37" s="88"/>
      <c r="F37" s="88"/>
      <c r="G37" s="88"/>
    </row>
    <row r="38" spans="3:7">
      <c r="C38" s="88"/>
      <c r="D38" s="88"/>
      <c r="E38" s="88"/>
      <c r="F38" s="88"/>
      <c r="G38" s="88"/>
    </row>
    <row r="39" spans="3:7">
      <c r="C39" s="88"/>
      <c r="D39" s="88"/>
      <c r="E39" s="88"/>
      <c r="F39" s="88"/>
      <c r="G39" s="88"/>
    </row>
    <row r="40" spans="3:7">
      <c r="C40" s="88"/>
      <c r="D40" s="88"/>
      <c r="E40" s="88"/>
      <c r="F40" s="88"/>
      <c r="G40" s="88"/>
    </row>
    <row r="41" spans="3:7">
      <c r="C41" s="88"/>
      <c r="D41" s="88"/>
      <c r="E41" s="88"/>
      <c r="F41" s="88"/>
      <c r="G41" s="88"/>
    </row>
    <row r="42" spans="3:7">
      <c r="C42" s="88"/>
      <c r="D42" s="88"/>
      <c r="E42" s="88"/>
      <c r="F42" s="88"/>
      <c r="G42" s="88"/>
    </row>
    <row r="43" spans="3:7">
      <c r="C43" s="88"/>
      <c r="D43" s="88"/>
      <c r="E43" s="88"/>
      <c r="F43" s="88"/>
      <c r="G43" s="88"/>
    </row>
    <row r="44" spans="3:7">
      <c r="C44" s="88"/>
      <c r="D44" s="88"/>
      <c r="E44" s="88"/>
      <c r="F44" s="88"/>
      <c r="G44" s="88"/>
    </row>
    <row r="45" spans="3:7">
      <c r="C45" s="88"/>
      <c r="D45" s="88"/>
      <c r="E45" s="88"/>
      <c r="F45" s="88"/>
      <c r="G45" s="88"/>
    </row>
    <row r="46" spans="3:7">
      <c r="C46" s="88"/>
      <c r="D46" s="88"/>
      <c r="E46" s="88"/>
      <c r="F46" s="88"/>
      <c r="G46" s="88"/>
    </row>
    <row r="47" spans="3:7">
      <c r="C47" s="88"/>
      <c r="D47" s="88"/>
      <c r="E47" s="88"/>
      <c r="F47" s="88"/>
      <c r="G47" s="88"/>
    </row>
    <row r="48" spans="3:7">
      <c r="C48" s="88"/>
      <c r="D48" s="88"/>
      <c r="E48" s="88"/>
      <c r="F48" s="88"/>
      <c r="G48" s="88"/>
    </row>
    <row r="49" spans="3:7">
      <c r="C49" s="88"/>
      <c r="D49" s="88"/>
      <c r="E49" s="88"/>
      <c r="F49" s="88"/>
      <c r="G49" s="8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2:I278"/>
  <sheetViews>
    <sheetView view="pageBreakPreview" zoomScaleNormal="100" zoomScaleSheetLayoutView="100" workbookViewId="0">
      <selection activeCell="E275" sqref="E275:E276"/>
    </sheetView>
  </sheetViews>
  <sheetFormatPr baseColWidth="10" defaultRowHeight="14.4"/>
  <cols>
    <col min="1" max="1" width="52.109375" customWidth="1"/>
    <col min="2" max="2" width="12.33203125" bestFit="1" customWidth="1"/>
    <col min="3" max="3" width="8.6640625" customWidth="1"/>
    <col min="4" max="4" width="11.6640625" customWidth="1"/>
    <col min="5" max="5" width="23.5546875" customWidth="1"/>
    <col min="6" max="6" width="18.33203125" customWidth="1"/>
  </cols>
  <sheetData>
    <row r="12" spans="1:6" ht="21">
      <c r="A12" s="269" t="s">
        <v>95</v>
      </c>
      <c r="B12" s="270"/>
      <c r="C12" s="270"/>
      <c r="D12" s="270"/>
      <c r="E12" s="270"/>
      <c r="F12" s="270"/>
    </row>
    <row r="13" spans="1:6" ht="15" thickBot="1"/>
    <row r="14" spans="1:6" ht="15" thickBot="1">
      <c r="A14" s="257" t="s">
        <v>46</v>
      </c>
      <c r="B14" s="258"/>
      <c r="C14" s="258"/>
      <c r="D14" s="258"/>
      <c r="E14" s="258"/>
      <c r="F14" s="259"/>
    </row>
    <row r="15" spans="1:6" ht="15.6">
      <c r="A15" s="89" t="s">
        <v>32</v>
      </c>
      <c r="B15" s="90" t="s">
        <v>33</v>
      </c>
      <c r="C15" s="91" t="s">
        <v>20</v>
      </c>
      <c r="D15" s="91" t="s">
        <v>34</v>
      </c>
      <c r="E15" s="92" t="s">
        <v>35</v>
      </c>
      <c r="F15" s="70" t="s">
        <v>36</v>
      </c>
    </row>
    <row r="16" spans="1:6">
      <c r="A16" s="93" t="s">
        <v>172</v>
      </c>
      <c r="B16" s="94">
        <v>0.33300000000000002</v>
      </c>
      <c r="C16" s="95" t="s">
        <v>174</v>
      </c>
      <c r="D16" s="95"/>
      <c r="E16" s="96"/>
      <c r="F16" s="97">
        <f>B16*E16</f>
        <v>0</v>
      </c>
    </row>
    <row r="17" spans="1:6">
      <c r="A17" s="93" t="s">
        <v>39</v>
      </c>
      <c r="B17" s="94"/>
      <c r="C17" s="95"/>
      <c r="D17" s="95"/>
      <c r="E17" s="96"/>
      <c r="F17" s="97"/>
    </row>
    <row r="18" spans="1:6">
      <c r="A18" s="93"/>
      <c r="B18" s="94"/>
      <c r="C18" s="95"/>
      <c r="D18" s="95"/>
      <c r="E18" s="98" t="s">
        <v>20</v>
      </c>
      <c r="F18" s="99"/>
    </row>
    <row r="19" spans="1:6">
      <c r="A19" s="93"/>
      <c r="B19" s="94"/>
      <c r="C19" s="95"/>
      <c r="D19" s="95"/>
      <c r="E19" s="98" t="s">
        <v>17</v>
      </c>
      <c r="F19" s="99">
        <f>+E17*0.18</f>
        <v>0</v>
      </c>
    </row>
    <row r="20" spans="1:6" ht="15" thickBot="1">
      <c r="A20" s="100"/>
      <c r="B20" s="101"/>
      <c r="C20" s="102"/>
      <c r="D20" s="102"/>
      <c r="E20" s="103"/>
      <c r="F20" s="104"/>
    </row>
    <row r="21" spans="1:6" ht="15" thickBot="1">
      <c r="A21" s="266" t="s">
        <v>47</v>
      </c>
      <c r="B21" s="267"/>
      <c r="C21" s="267"/>
      <c r="D21" s="267"/>
      <c r="E21" s="267"/>
      <c r="F21" s="268"/>
    </row>
    <row r="22" spans="1:6" ht="15.6">
      <c r="A22" s="89" t="s">
        <v>32</v>
      </c>
      <c r="B22" s="90" t="s">
        <v>33</v>
      </c>
      <c r="C22" s="91" t="s">
        <v>20</v>
      </c>
      <c r="D22" s="91" t="s">
        <v>34</v>
      </c>
      <c r="E22" s="92" t="s">
        <v>35</v>
      </c>
      <c r="F22" s="70" t="s">
        <v>36</v>
      </c>
    </row>
    <row r="23" spans="1:6">
      <c r="A23" s="93" t="s">
        <v>173</v>
      </c>
      <c r="B23" s="94">
        <v>1</v>
      </c>
      <c r="C23" s="95" t="s">
        <v>174</v>
      </c>
      <c r="D23" s="95"/>
      <c r="E23" s="96"/>
      <c r="F23" s="97">
        <f>B23*E23</f>
        <v>0</v>
      </c>
    </row>
    <row r="24" spans="1:6" ht="27">
      <c r="A24" s="145" t="s">
        <v>175</v>
      </c>
      <c r="B24" s="94">
        <v>2</v>
      </c>
      <c r="C24" s="95" t="s">
        <v>176</v>
      </c>
      <c r="D24" s="95"/>
      <c r="E24" s="96"/>
      <c r="F24" s="97">
        <f>B24*E24</f>
        <v>0</v>
      </c>
    </row>
    <row r="25" spans="1:6">
      <c r="A25" s="93" t="s">
        <v>39</v>
      </c>
      <c r="B25" s="146">
        <v>0.05</v>
      </c>
      <c r="C25" s="95" t="s">
        <v>20</v>
      </c>
      <c r="D25" s="95"/>
      <c r="E25" s="96"/>
      <c r="F25" s="97">
        <f>E25*B25</f>
        <v>0</v>
      </c>
    </row>
    <row r="26" spans="1:6">
      <c r="A26" s="93"/>
      <c r="B26" s="94"/>
      <c r="C26" s="95"/>
      <c r="D26" s="95"/>
      <c r="E26" s="98" t="s">
        <v>36</v>
      </c>
      <c r="F26" s="99">
        <f>SUM(F23:F25)</f>
        <v>0</v>
      </c>
    </row>
    <row r="27" spans="1:6" ht="15" thickBot="1">
      <c r="F27" s="147">
        <f>F26/51.89</f>
        <v>0</v>
      </c>
    </row>
    <row r="28" spans="1:6" ht="15" thickBot="1">
      <c r="A28" s="266" t="s">
        <v>100</v>
      </c>
      <c r="B28" s="267"/>
      <c r="C28" s="267"/>
      <c r="D28" s="267"/>
      <c r="E28" s="267"/>
      <c r="F28" s="268"/>
    </row>
    <row r="29" spans="1:6" ht="15.6">
      <c r="A29" s="89" t="s">
        <v>32</v>
      </c>
      <c r="B29" s="90" t="s">
        <v>33</v>
      </c>
      <c r="C29" s="91" t="s">
        <v>20</v>
      </c>
      <c r="D29" s="91" t="s">
        <v>34</v>
      </c>
      <c r="E29" s="92" t="s">
        <v>35</v>
      </c>
      <c r="F29" s="70" t="s">
        <v>36</v>
      </c>
    </row>
    <row r="30" spans="1:6">
      <c r="A30" s="93" t="s">
        <v>40</v>
      </c>
      <c r="B30" s="94">
        <f>4*2</f>
        <v>8</v>
      </c>
      <c r="C30" s="95" t="s">
        <v>38</v>
      </c>
      <c r="D30" s="95">
        <v>1</v>
      </c>
      <c r="E30" s="96"/>
      <c r="F30" s="97">
        <f>E30*B30/D30</f>
        <v>0</v>
      </c>
    </row>
    <row r="31" spans="1:6">
      <c r="A31" s="93" t="s">
        <v>39</v>
      </c>
      <c r="B31" s="94">
        <v>0.95</v>
      </c>
      <c r="C31" s="95" t="s">
        <v>20</v>
      </c>
      <c r="D31" s="95">
        <v>1</v>
      </c>
      <c r="E31" s="96"/>
      <c r="F31" s="97">
        <f>E31*B31</f>
        <v>0</v>
      </c>
    </row>
    <row r="32" spans="1:6">
      <c r="A32" s="93" t="s">
        <v>103</v>
      </c>
      <c r="B32" s="94">
        <v>1</v>
      </c>
      <c r="C32" s="95" t="s">
        <v>55</v>
      </c>
      <c r="D32" s="95">
        <v>1</v>
      </c>
      <c r="E32" s="96"/>
      <c r="F32" s="97">
        <f>E32*B32</f>
        <v>0</v>
      </c>
    </row>
    <row r="33" spans="1:6">
      <c r="A33" s="93"/>
      <c r="B33" s="94"/>
      <c r="C33" s="95"/>
      <c r="D33" s="95"/>
      <c r="E33" s="98" t="s">
        <v>20</v>
      </c>
      <c r="F33" s="99">
        <f>SUM(F30:F32)</f>
        <v>0</v>
      </c>
    </row>
    <row r="34" spans="1:6">
      <c r="A34" s="93"/>
      <c r="B34" s="94"/>
      <c r="C34" s="95"/>
      <c r="D34" s="95"/>
      <c r="E34" s="98" t="s">
        <v>17</v>
      </c>
      <c r="F34" s="99">
        <f>+F33*0.18</f>
        <v>0</v>
      </c>
    </row>
    <row r="35" spans="1:6" ht="15" thickBot="1"/>
    <row r="36" spans="1:6" ht="15" thickBot="1">
      <c r="A36" s="266" t="s">
        <v>101</v>
      </c>
      <c r="B36" s="267"/>
      <c r="C36" s="267"/>
      <c r="D36" s="267"/>
      <c r="E36" s="267"/>
      <c r="F36" s="268"/>
    </row>
    <row r="37" spans="1:6" ht="15.6">
      <c r="A37" s="89" t="s">
        <v>32</v>
      </c>
      <c r="B37" s="90" t="s">
        <v>33</v>
      </c>
      <c r="C37" s="91" t="s">
        <v>20</v>
      </c>
      <c r="D37" s="91" t="s">
        <v>34</v>
      </c>
      <c r="E37" s="92" t="s">
        <v>35</v>
      </c>
      <c r="F37" s="70" t="s">
        <v>36</v>
      </c>
    </row>
    <row r="38" spans="1:6">
      <c r="A38" s="93" t="s">
        <v>40</v>
      </c>
      <c r="B38" s="94">
        <v>1</v>
      </c>
      <c r="C38" s="95" t="s">
        <v>38</v>
      </c>
      <c r="D38" s="95">
        <v>5</v>
      </c>
      <c r="E38" s="96"/>
      <c r="F38" s="97">
        <f>E38*B38/D38</f>
        <v>0</v>
      </c>
    </row>
    <row r="39" spans="1:6">
      <c r="A39" s="93" t="s">
        <v>39</v>
      </c>
      <c r="B39" s="94">
        <v>0.95</v>
      </c>
      <c r="C39" s="95" t="s">
        <v>20</v>
      </c>
      <c r="D39" s="95">
        <v>1</v>
      </c>
      <c r="E39" s="96"/>
      <c r="F39" s="97">
        <f>E39*B39</f>
        <v>0</v>
      </c>
    </row>
    <row r="40" spans="1:6">
      <c r="A40" s="93"/>
      <c r="B40" s="94"/>
      <c r="C40" s="95"/>
      <c r="D40" s="95"/>
      <c r="E40" s="98"/>
      <c r="F40" s="99">
        <f>SUM(F38:F39)</f>
        <v>0</v>
      </c>
    </row>
    <row r="41" spans="1:6">
      <c r="A41" s="93"/>
      <c r="B41" s="94"/>
      <c r="C41" s="95"/>
      <c r="D41" s="95"/>
      <c r="E41" s="98" t="s">
        <v>17</v>
      </c>
      <c r="F41" s="99">
        <f>+F40*0.18</f>
        <v>0</v>
      </c>
    </row>
    <row r="42" spans="1:6" ht="15" thickBot="1">
      <c r="A42" s="100"/>
      <c r="B42" s="101"/>
      <c r="C42" s="102"/>
      <c r="D42" s="102"/>
      <c r="E42" s="103"/>
      <c r="F42" s="104"/>
    </row>
    <row r="43" spans="1:6" ht="15" thickBot="1">
      <c r="A43" s="257" t="s">
        <v>186</v>
      </c>
      <c r="B43" s="258"/>
      <c r="C43" s="258"/>
      <c r="D43" s="258"/>
      <c r="E43" s="258"/>
      <c r="F43" s="259"/>
    </row>
    <row r="44" spans="1:6">
      <c r="A44" s="211" t="s">
        <v>188</v>
      </c>
      <c r="B44" s="212">
        <v>106</v>
      </c>
      <c r="C44" s="209" t="s">
        <v>182</v>
      </c>
      <c r="D44" s="209"/>
      <c r="E44" s="209"/>
      <c r="F44" s="209"/>
    </row>
    <row r="45" spans="1:6">
      <c r="A45" s="211" t="s">
        <v>189</v>
      </c>
      <c r="B45" s="212"/>
      <c r="C45" s="209"/>
      <c r="D45" s="209"/>
      <c r="E45" s="209"/>
      <c r="F45" s="209"/>
    </row>
    <row r="46" spans="1:6">
      <c r="A46" s="211" t="s">
        <v>190</v>
      </c>
      <c r="B46" s="212">
        <v>8</v>
      </c>
      <c r="C46" s="210" t="s">
        <v>191</v>
      </c>
      <c r="D46" s="210"/>
      <c r="E46" s="210"/>
      <c r="F46" s="210"/>
    </row>
    <row r="47" spans="1:6">
      <c r="A47" s="211" t="s">
        <v>192</v>
      </c>
      <c r="B47" s="213">
        <v>6</v>
      </c>
      <c r="C47" s="213" t="s">
        <v>193</v>
      </c>
      <c r="D47" s="214">
        <f>B47/35.2928</f>
        <v>0.17000634690361774</v>
      </c>
      <c r="E47" s="213" t="s">
        <v>66</v>
      </c>
      <c r="F47" s="210"/>
    </row>
    <row r="48" spans="1:6">
      <c r="A48" s="211" t="s">
        <v>195</v>
      </c>
      <c r="B48" s="213">
        <f>60*0.17/8</f>
        <v>1.2750000000000001</v>
      </c>
      <c r="C48" s="213" t="s">
        <v>66</v>
      </c>
      <c r="D48" s="214"/>
      <c r="E48" s="214"/>
      <c r="F48" s="210"/>
    </row>
    <row r="49" spans="1:9">
      <c r="A49" s="211" t="s">
        <v>196</v>
      </c>
      <c r="B49" s="213">
        <f>8*0.75*1.28</f>
        <v>7.68</v>
      </c>
      <c r="C49" s="213" t="s">
        <v>66</v>
      </c>
      <c r="D49" s="214"/>
      <c r="E49" s="214"/>
      <c r="F49" s="210"/>
    </row>
    <row r="50" spans="1:9">
      <c r="A50" s="211"/>
      <c r="B50" s="214"/>
      <c r="C50" s="213"/>
      <c r="D50" s="214"/>
      <c r="E50" s="214"/>
      <c r="F50" s="210"/>
    </row>
    <row r="51" spans="1:9" ht="15.6">
      <c r="A51" s="89" t="s">
        <v>32</v>
      </c>
      <c r="B51" s="90" t="s">
        <v>33</v>
      </c>
      <c r="C51" s="91" t="s">
        <v>20</v>
      </c>
      <c r="D51" s="91" t="s">
        <v>34</v>
      </c>
      <c r="E51" s="92" t="s">
        <v>35</v>
      </c>
      <c r="F51" s="70" t="s">
        <v>36</v>
      </c>
    </row>
    <row r="52" spans="1:9">
      <c r="A52" s="207" t="s">
        <v>173</v>
      </c>
      <c r="B52" s="208">
        <v>1</v>
      </c>
      <c r="C52" s="208" t="s">
        <v>8</v>
      </c>
      <c r="D52" s="96"/>
      <c r="E52" s="96"/>
      <c r="F52" s="96">
        <f>B52*E52</f>
        <v>0</v>
      </c>
    </row>
    <row r="53" spans="1:9">
      <c r="A53" s="145" t="s">
        <v>194</v>
      </c>
      <c r="B53" s="94">
        <v>1</v>
      </c>
      <c r="C53" s="95" t="s">
        <v>8</v>
      </c>
      <c r="D53" s="95">
        <v>1</v>
      </c>
      <c r="E53" s="96"/>
      <c r="F53" s="97">
        <f>B53*E53</f>
        <v>0</v>
      </c>
    </row>
    <row r="54" spans="1:9">
      <c r="A54" s="145" t="s">
        <v>187</v>
      </c>
      <c r="B54" s="146">
        <v>0.05</v>
      </c>
      <c r="C54" s="95"/>
      <c r="D54" s="95"/>
      <c r="E54" s="96"/>
      <c r="F54" s="97">
        <f>B54*E54</f>
        <v>0</v>
      </c>
    </row>
    <row r="55" spans="1:9">
      <c r="A55" s="93"/>
      <c r="B55" s="94"/>
      <c r="C55" s="95"/>
      <c r="D55" s="95"/>
      <c r="E55" s="98" t="s">
        <v>36</v>
      </c>
      <c r="F55" s="99">
        <f>SUM(F52:F54)</f>
        <v>0</v>
      </c>
    </row>
    <row r="56" spans="1:9">
      <c r="A56" s="100"/>
      <c r="B56" s="101"/>
      <c r="C56" s="102"/>
      <c r="D56" s="102"/>
      <c r="E56" s="103"/>
      <c r="F56" s="104">
        <f>F55/B49</f>
        <v>0</v>
      </c>
    </row>
    <row r="57" spans="1:9" ht="15" thickBot="1">
      <c r="A57" s="100"/>
      <c r="B57" s="101"/>
      <c r="C57" s="102"/>
      <c r="D57" s="102"/>
      <c r="E57" s="103"/>
      <c r="F57" s="104"/>
    </row>
    <row r="58" spans="1:9" ht="15" thickBot="1">
      <c r="A58" s="266" t="s">
        <v>48</v>
      </c>
      <c r="B58" s="267"/>
      <c r="C58" s="267"/>
      <c r="D58" s="267"/>
      <c r="E58" s="267"/>
      <c r="F58" s="268"/>
    </row>
    <row r="59" spans="1:9" ht="15.6">
      <c r="A59" s="89" t="s">
        <v>32</v>
      </c>
      <c r="B59" s="90" t="s">
        <v>33</v>
      </c>
      <c r="C59" s="91" t="s">
        <v>20</v>
      </c>
      <c r="D59" s="91" t="s">
        <v>34</v>
      </c>
      <c r="E59" s="92" t="s">
        <v>35</v>
      </c>
      <c r="F59" s="70" t="s">
        <v>36</v>
      </c>
    </row>
    <row r="60" spans="1:9">
      <c r="A60" s="93" t="s">
        <v>50</v>
      </c>
      <c r="B60" s="94">
        <v>1</v>
      </c>
      <c r="C60" s="95" t="s">
        <v>20</v>
      </c>
      <c r="D60" s="95">
        <v>1</v>
      </c>
      <c r="E60" s="96"/>
      <c r="F60" s="97">
        <f>E60*B60</f>
        <v>0</v>
      </c>
    </row>
    <row r="61" spans="1:9">
      <c r="A61" s="93"/>
      <c r="B61" s="94"/>
      <c r="C61" s="95"/>
      <c r="D61" s="95"/>
      <c r="E61" s="98" t="s">
        <v>49</v>
      </c>
      <c r="F61" s="99">
        <f>SUM(F60:F60)</f>
        <v>0</v>
      </c>
    </row>
    <row r="62" spans="1:9">
      <c r="A62" s="93"/>
      <c r="B62" s="94"/>
      <c r="C62" s="95"/>
      <c r="D62" s="95"/>
      <c r="E62" s="98" t="s">
        <v>17</v>
      </c>
      <c r="F62" s="99">
        <f>+F61*0.18</f>
        <v>0</v>
      </c>
      <c r="I62" s="67" t="e">
        <f>+'PRESUPUESTO FINAL'!#REF!</f>
        <v>#REF!</v>
      </c>
    </row>
    <row r="63" spans="1:9" ht="15" thickBot="1"/>
    <row r="64" spans="1:9" ht="15" thickBot="1">
      <c r="A64" s="266" t="s">
        <v>102</v>
      </c>
      <c r="B64" s="267"/>
      <c r="C64" s="267"/>
      <c r="D64" s="267"/>
      <c r="E64" s="267"/>
      <c r="F64" s="268"/>
    </row>
    <row r="65" spans="1:6" ht="15.6">
      <c r="A65" s="89" t="s">
        <v>32</v>
      </c>
      <c r="B65" s="90" t="s">
        <v>33</v>
      </c>
      <c r="C65" s="91" t="s">
        <v>20</v>
      </c>
      <c r="D65" s="91" t="s">
        <v>34</v>
      </c>
      <c r="E65" s="92" t="s">
        <v>35</v>
      </c>
      <c r="F65" s="70" t="s">
        <v>36</v>
      </c>
    </row>
    <row r="66" spans="1:6">
      <c r="A66" s="93" t="s">
        <v>40</v>
      </c>
      <c r="B66" s="94">
        <f>3*5</f>
        <v>15</v>
      </c>
      <c r="C66" s="95" t="s">
        <v>38</v>
      </c>
      <c r="D66" s="95">
        <v>1</v>
      </c>
      <c r="E66" s="96"/>
      <c r="F66" s="97">
        <f>E66*B66/D66</f>
        <v>0</v>
      </c>
    </row>
    <row r="67" spans="1:6">
      <c r="A67" s="93" t="s">
        <v>39</v>
      </c>
      <c r="B67" s="94">
        <v>1</v>
      </c>
      <c r="C67" s="95" t="s">
        <v>20</v>
      </c>
      <c r="D67" s="95">
        <v>1</v>
      </c>
      <c r="E67" s="96"/>
      <c r="F67" s="97">
        <f>E67*B67</f>
        <v>0</v>
      </c>
    </row>
    <row r="68" spans="1:6">
      <c r="A68" s="93"/>
      <c r="B68" s="94"/>
      <c r="C68" s="95"/>
      <c r="D68" s="95"/>
      <c r="E68" s="98" t="s">
        <v>29</v>
      </c>
      <c r="F68" s="99" t="e">
        <f>SUM(F66:F67)/'MEMORIA CALCULO'!#REF!</f>
        <v>#REF!</v>
      </c>
    </row>
    <row r="69" spans="1:6">
      <c r="A69" s="93"/>
      <c r="B69" s="94"/>
      <c r="C69" s="95"/>
      <c r="D69" s="95"/>
      <c r="E69" s="98" t="s">
        <v>17</v>
      </c>
      <c r="F69" s="99" t="e">
        <f>+F68*0.18</f>
        <v>#REF!</v>
      </c>
    </row>
    <row r="70" spans="1:6" ht="15" thickBot="1"/>
    <row r="71" spans="1:6" ht="15" thickBot="1">
      <c r="A71" s="266" t="s">
        <v>51</v>
      </c>
      <c r="B71" s="267"/>
      <c r="C71" s="267"/>
      <c r="D71" s="267"/>
      <c r="E71" s="267"/>
      <c r="F71" s="268"/>
    </row>
    <row r="72" spans="1:6" ht="15.6">
      <c r="A72" s="89" t="s">
        <v>32</v>
      </c>
      <c r="B72" s="90" t="s">
        <v>33</v>
      </c>
      <c r="C72" s="91" t="s">
        <v>20</v>
      </c>
      <c r="D72" s="91" t="s">
        <v>34</v>
      </c>
      <c r="E72" s="92" t="s">
        <v>35</v>
      </c>
      <c r="F72" s="70" t="s">
        <v>36</v>
      </c>
    </row>
    <row r="73" spans="1:6">
      <c r="A73" s="93" t="s">
        <v>40</v>
      </c>
      <c r="B73" s="94">
        <v>1</v>
      </c>
      <c r="C73" s="95" t="s">
        <v>38</v>
      </c>
      <c r="D73" s="95">
        <v>10</v>
      </c>
      <c r="E73" s="96"/>
      <c r="F73" s="97">
        <f>E73*B73/D73</f>
        <v>0</v>
      </c>
    </row>
    <row r="74" spans="1:6">
      <c r="A74" s="93" t="s">
        <v>39</v>
      </c>
      <c r="B74" s="94">
        <v>0.95</v>
      </c>
      <c r="C74" s="95" t="s">
        <v>20</v>
      </c>
      <c r="D74" s="95">
        <v>1</v>
      </c>
      <c r="E74" s="96"/>
      <c r="F74" s="97">
        <f>E74*B74</f>
        <v>0</v>
      </c>
    </row>
    <row r="75" spans="1:6">
      <c r="A75" s="93"/>
      <c r="B75" s="94"/>
      <c r="C75" s="95"/>
      <c r="D75" s="95"/>
      <c r="E75" s="98" t="s">
        <v>20</v>
      </c>
      <c r="F75" s="99">
        <f>SUM(F73:F74)</f>
        <v>0</v>
      </c>
    </row>
    <row r="76" spans="1:6">
      <c r="A76" s="93"/>
      <c r="B76" s="94"/>
      <c r="C76" s="95"/>
      <c r="D76" s="95"/>
      <c r="E76" s="98" t="s">
        <v>17</v>
      </c>
      <c r="F76" s="99">
        <f>+F75*0.18</f>
        <v>0</v>
      </c>
    </row>
    <row r="77" spans="1:6" ht="15" thickBot="1"/>
    <row r="78" spans="1:6" ht="15" thickBot="1">
      <c r="A78" s="257" t="s">
        <v>164</v>
      </c>
      <c r="B78" s="258"/>
      <c r="C78" s="258"/>
      <c r="D78" s="258"/>
      <c r="E78" s="258"/>
      <c r="F78" s="259"/>
    </row>
    <row r="79" spans="1:6" ht="15.6">
      <c r="A79" s="139" t="s">
        <v>32</v>
      </c>
      <c r="B79" s="140" t="s">
        <v>33</v>
      </c>
      <c r="C79" s="141" t="s">
        <v>20</v>
      </c>
      <c r="D79" s="141" t="s">
        <v>34</v>
      </c>
      <c r="E79" s="142" t="s">
        <v>35</v>
      </c>
      <c r="F79" s="70" t="s">
        <v>36</v>
      </c>
    </row>
    <row r="80" spans="1:6">
      <c r="A80" s="131" t="s">
        <v>152</v>
      </c>
      <c r="B80" s="133">
        <v>2.46</v>
      </c>
      <c r="C80" s="120" t="s">
        <v>153</v>
      </c>
      <c r="D80" s="120">
        <v>1</v>
      </c>
      <c r="E80" s="129"/>
      <c r="F80" s="97">
        <f t="shared" ref="F80:F88" si="0">E80*B80/D80</f>
        <v>0</v>
      </c>
    </row>
    <row r="81" spans="1:6">
      <c r="A81" s="131" t="s">
        <v>154</v>
      </c>
      <c r="B81" s="133">
        <v>3</v>
      </c>
      <c r="C81" s="120" t="s">
        <v>76</v>
      </c>
      <c r="D81" s="120">
        <v>1</v>
      </c>
      <c r="E81" s="129"/>
      <c r="F81" s="97">
        <f t="shared" si="0"/>
        <v>0</v>
      </c>
    </row>
    <row r="82" spans="1:6">
      <c r="A82" s="131" t="s">
        <v>155</v>
      </c>
      <c r="B82" s="133"/>
      <c r="C82" s="120" t="s">
        <v>156</v>
      </c>
      <c r="D82" s="120">
        <v>1</v>
      </c>
      <c r="E82" s="129"/>
      <c r="F82" s="97">
        <f t="shared" si="0"/>
        <v>0</v>
      </c>
    </row>
    <row r="83" spans="1:6">
      <c r="A83" s="131" t="s">
        <v>157</v>
      </c>
      <c r="B83" s="133"/>
      <c r="C83" s="120" t="s">
        <v>75</v>
      </c>
      <c r="D83" s="120">
        <v>1</v>
      </c>
      <c r="E83" s="129"/>
      <c r="F83" s="97">
        <f t="shared" si="0"/>
        <v>0</v>
      </c>
    </row>
    <row r="84" spans="1:6">
      <c r="A84" s="131" t="s">
        <v>158</v>
      </c>
      <c r="B84" s="133"/>
      <c r="C84" s="120" t="s">
        <v>75</v>
      </c>
      <c r="D84" s="120">
        <v>1</v>
      </c>
      <c r="E84" s="129"/>
      <c r="F84" s="97">
        <f t="shared" si="0"/>
        <v>0</v>
      </c>
    </row>
    <row r="85" spans="1:6">
      <c r="A85" s="131" t="s">
        <v>159</v>
      </c>
      <c r="B85" s="133">
        <v>8.33</v>
      </c>
      <c r="C85" s="120" t="s">
        <v>75</v>
      </c>
      <c r="D85" s="120">
        <v>1</v>
      </c>
      <c r="E85" s="129"/>
      <c r="F85" s="97">
        <f t="shared" si="0"/>
        <v>0</v>
      </c>
    </row>
    <row r="86" spans="1:6">
      <c r="A86" s="131" t="s">
        <v>160</v>
      </c>
      <c r="B86" s="133">
        <v>33.33</v>
      </c>
      <c r="C86" s="120" t="s">
        <v>76</v>
      </c>
      <c r="D86" s="120">
        <v>1</v>
      </c>
      <c r="E86" s="129"/>
      <c r="F86" s="97">
        <f t="shared" si="0"/>
        <v>0</v>
      </c>
    </row>
    <row r="87" spans="1:6">
      <c r="A87" s="131" t="s">
        <v>161</v>
      </c>
      <c r="B87" s="133"/>
      <c r="C87" s="120" t="s">
        <v>9</v>
      </c>
      <c r="D87" s="120">
        <v>1</v>
      </c>
      <c r="E87" s="129"/>
      <c r="F87" s="97">
        <f t="shared" si="0"/>
        <v>0</v>
      </c>
    </row>
    <row r="88" spans="1:6">
      <c r="A88" s="131" t="s">
        <v>163</v>
      </c>
      <c r="B88" s="133">
        <v>1.07</v>
      </c>
      <c r="C88" s="120" t="s">
        <v>66</v>
      </c>
      <c r="D88" s="120">
        <v>1</v>
      </c>
      <c r="E88" s="129"/>
      <c r="F88" s="97">
        <f t="shared" si="0"/>
        <v>0</v>
      </c>
    </row>
    <row r="89" spans="1:6">
      <c r="A89" s="131"/>
      <c r="B89" s="133"/>
      <c r="C89" s="120"/>
      <c r="D89" s="120"/>
      <c r="E89" s="121" t="s">
        <v>162</v>
      </c>
      <c r="F89" s="114">
        <f>SUM(F80:F88)</f>
        <v>0</v>
      </c>
    </row>
    <row r="90" spans="1:6">
      <c r="A90" s="131"/>
      <c r="B90" s="133"/>
      <c r="C90" s="120"/>
      <c r="D90" s="120"/>
      <c r="E90" s="121" t="s">
        <v>17</v>
      </c>
      <c r="F90" s="114">
        <f>(F80+F82+F83+F84+F85+F88)*0.16</f>
        <v>0</v>
      </c>
    </row>
    <row r="91" spans="1:6" ht="15" thickBot="1"/>
    <row r="92" spans="1:6" ht="15" thickBot="1">
      <c r="A92" s="263" t="s">
        <v>77</v>
      </c>
      <c r="B92" s="264"/>
      <c r="C92" s="264"/>
      <c r="D92" s="264"/>
      <c r="E92" s="264"/>
      <c r="F92" s="265"/>
    </row>
    <row r="93" spans="1:6" ht="15.6">
      <c r="A93" s="63" t="s">
        <v>32</v>
      </c>
      <c r="B93" s="64" t="s">
        <v>33</v>
      </c>
      <c r="C93" s="65" t="s">
        <v>20</v>
      </c>
      <c r="D93" s="65" t="s">
        <v>34</v>
      </c>
      <c r="E93" s="66" t="s">
        <v>35</v>
      </c>
      <c r="F93" s="113" t="s">
        <v>36</v>
      </c>
    </row>
    <row r="94" spans="1:6">
      <c r="A94" s="93" t="s">
        <v>78</v>
      </c>
      <c r="B94" s="94">
        <v>538</v>
      </c>
      <c r="C94" s="95" t="s">
        <v>20</v>
      </c>
      <c r="D94" s="95">
        <v>1</v>
      </c>
      <c r="E94" s="96"/>
      <c r="F94" s="97">
        <f t="shared" ref="F94:F103" si="1">+B94*E94</f>
        <v>0</v>
      </c>
    </row>
    <row r="95" spans="1:6">
      <c r="A95" s="93" t="s">
        <v>79</v>
      </c>
      <c r="B95" s="94">
        <v>269</v>
      </c>
      <c r="C95" s="95" t="s">
        <v>20</v>
      </c>
      <c r="D95" s="95">
        <v>1</v>
      </c>
      <c r="E95" s="96"/>
      <c r="F95" s="97">
        <f t="shared" si="1"/>
        <v>0</v>
      </c>
    </row>
    <row r="96" spans="1:6">
      <c r="A96" s="93" t="s">
        <v>80</v>
      </c>
      <c r="B96" s="94">
        <v>269</v>
      </c>
      <c r="C96" s="95" t="s">
        <v>20</v>
      </c>
      <c r="D96" s="95">
        <v>1</v>
      </c>
      <c r="E96" s="96"/>
      <c r="F96" s="97">
        <f t="shared" si="1"/>
        <v>0</v>
      </c>
    </row>
    <row r="97" spans="1:6">
      <c r="A97" s="93" t="s">
        <v>81</v>
      </c>
      <c r="B97" s="94">
        <v>45</v>
      </c>
      <c r="C97" s="95" t="s">
        <v>20</v>
      </c>
      <c r="D97" s="95">
        <v>1</v>
      </c>
      <c r="E97" s="96"/>
      <c r="F97" s="97">
        <f t="shared" si="1"/>
        <v>0</v>
      </c>
    </row>
    <row r="98" spans="1:6">
      <c r="A98" s="93" t="s">
        <v>82</v>
      </c>
      <c r="B98" s="94">
        <v>20</v>
      </c>
      <c r="C98" s="95" t="s">
        <v>20</v>
      </c>
      <c r="D98" s="95">
        <v>1</v>
      </c>
      <c r="E98" s="96"/>
      <c r="F98" s="97">
        <f t="shared" si="1"/>
        <v>0</v>
      </c>
    </row>
    <row r="99" spans="1:6">
      <c r="A99" s="93" t="s">
        <v>83</v>
      </c>
      <c r="B99" s="94">
        <v>2</v>
      </c>
      <c r="C99" s="95" t="s">
        <v>84</v>
      </c>
      <c r="D99" s="95">
        <v>1</v>
      </c>
      <c r="E99" s="96"/>
      <c r="F99" s="97">
        <f t="shared" si="1"/>
        <v>0</v>
      </c>
    </row>
    <row r="100" spans="1:6">
      <c r="A100" s="93" t="s">
        <v>85</v>
      </c>
      <c r="B100" s="94">
        <v>140</v>
      </c>
      <c r="C100" s="95" t="s">
        <v>20</v>
      </c>
      <c r="D100" s="95">
        <v>1</v>
      </c>
      <c r="E100" s="96"/>
      <c r="F100" s="97">
        <f t="shared" si="1"/>
        <v>0</v>
      </c>
    </row>
    <row r="101" spans="1:6">
      <c r="A101" s="93" t="s">
        <v>86</v>
      </c>
      <c r="B101" s="94">
        <v>140</v>
      </c>
      <c r="C101" s="95" t="s">
        <v>20</v>
      </c>
      <c r="D101" s="95">
        <v>1</v>
      </c>
      <c r="E101" s="96"/>
      <c r="F101" s="97">
        <f t="shared" si="1"/>
        <v>0</v>
      </c>
    </row>
    <row r="102" spans="1:6">
      <c r="A102" s="93" t="s">
        <v>87</v>
      </c>
      <c r="B102" s="94">
        <v>10</v>
      </c>
      <c r="C102" s="95" t="s">
        <v>88</v>
      </c>
      <c r="D102" s="95">
        <v>1</v>
      </c>
      <c r="E102" s="96"/>
      <c r="F102" s="97">
        <f t="shared" si="1"/>
        <v>0</v>
      </c>
    </row>
    <row r="103" spans="1:6">
      <c r="A103" s="93" t="s">
        <v>37</v>
      </c>
      <c r="B103" s="94">
        <v>100</v>
      </c>
      <c r="C103" s="95" t="s">
        <v>23</v>
      </c>
      <c r="D103" s="95">
        <v>1</v>
      </c>
      <c r="E103" s="96"/>
      <c r="F103" s="97">
        <f t="shared" si="1"/>
        <v>0</v>
      </c>
    </row>
    <row r="104" spans="1:6">
      <c r="E104" s="121" t="s">
        <v>89</v>
      </c>
      <c r="F104" s="114">
        <f>SUM(F94:F103)</f>
        <v>0</v>
      </c>
    </row>
    <row r="105" spans="1:6">
      <c r="E105" s="121" t="s">
        <v>90</v>
      </c>
      <c r="F105" s="114">
        <f>+F104/B103</f>
        <v>0</v>
      </c>
    </row>
    <row r="106" spans="1:6">
      <c r="E106" s="115" t="s">
        <v>17</v>
      </c>
      <c r="F106" s="116">
        <f>SUM(F94:F98)*0.18</f>
        <v>0</v>
      </c>
    </row>
    <row r="107" spans="1:6" ht="15" thickBot="1"/>
    <row r="108" spans="1:6" ht="15" thickBot="1">
      <c r="A108" s="274" t="s">
        <v>28</v>
      </c>
      <c r="B108" s="275"/>
      <c r="C108" s="275"/>
      <c r="D108" s="275"/>
      <c r="E108" s="275"/>
      <c r="F108" s="276"/>
    </row>
    <row r="109" spans="1:6">
      <c r="A109" s="82" t="s">
        <v>32</v>
      </c>
      <c r="B109" s="105" t="s">
        <v>33</v>
      </c>
      <c r="C109" s="106" t="s">
        <v>20</v>
      </c>
      <c r="D109" s="106" t="s">
        <v>34</v>
      </c>
      <c r="E109" s="107" t="s">
        <v>35</v>
      </c>
      <c r="F109" s="81" t="s">
        <v>36</v>
      </c>
    </row>
    <row r="110" spans="1:6">
      <c r="A110" s="80" t="s">
        <v>52</v>
      </c>
      <c r="B110" s="79">
        <v>1</v>
      </c>
      <c r="C110" s="78" t="s">
        <v>9</v>
      </c>
      <c r="D110" s="78">
        <v>1</v>
      </c>
      <c r="E110" s="80"/>
      <c r="F110" s="80">
        <f>+(E110*B110)/D110</f>
        <v>0</v>
      </c>
    </row>
    <row r="111" spans="1:6">
      <c r="A111" s="80" t="s">
        <v>37</v>
      </c>
      <c r="B111" s="79">
        <v>1</v>
      </c>
      <c r="C111" s="78" t="s">
        <v>9</v>
      </c>
      <c r="D111" s="78">
        <v>1</v>
      </c>
      <c r="E111" s="80"/>
      <c r="F111" s="80">
        <f>+(E111*B111)/D111</f>
        <v>0</v>
      </c>
    </row>
    <row r="112" spans="1:6">
      <c r="A112" s="80"/>
      <c r="B112" s="77"/>
      <c r="C112" s="77"/>
      <c r="D112" s="77"/>
      <c r="E112" s="76" t="s">
        <v>9</v>
      </c>
      <c r="F112" s="83">
        <f>+SUM(F110:F111)</f>
        <v>0</v>
      </c>
    </row>
    <row r="113" spans="1:6">
      <c r="A113" s="75"/>
      <c r="B113" s="75"/>
      <c r="C113" s="75"/>
      <c r="D113" s="75"/>
      <c r="E113" s="74" t="s">
        <v>17</v>
      </c>
      <c r="F113" s="73">
        <f>+F111*0.18</f>
        <v>0</v>
      </c>
    </row>
    <row r="114" spans="1:6" ht="15" thickBot="1"/>
    <row r="115" spans="1:6" ht="15" thickBot="1">
      <c r="A115" s="274" t="s">
        <v>53</v>
      </c>
      <c r="B115" s="275"/>
      <c r="C115" s="275"/>
      <c r="D115" s="275"/>
      <c r="E115" s="275"/>
      <c r="F115" s="276"/>
    </row>
    <row r="116" spans="1:6">
      <c r="A116" s="82" t="s">
        <v>32</v>
      </c>
      <c r="B116" s="105" t="s">
        <v>33</v>
      </c>
      <c r="C116" s="106" t="s">
        <v>20</v>
      </c>
      <c r="D116" s="106" t="s">
        <v>34</v>
      </c>
      <c r="E116" s="107" t="s">
        <v>35</v>
      </c>
      <c r="F116" s="81" t="s">
        <v>36</v>
      </c>
    </row>
    <row r="117" spans="1:6" ht="27">
      <c r="A117" s="72" t="s">
        <v>54</v>
      </c>
      <c r="B117" s="79">
        <v>1</v>
      </c>
      <c r="C117" s="78" t="s">
        <v>20</v>
      </c>
      <c r="D117" s="78">
        <v>1</v>
      </c>
      <c r="E117" s="80"/>
      <c r="F117" s="80">
        <f>+(E117*B117)/D117</f>
        <v>0</v>
      </c>
    </row>
    <row r="118" spans="1:6">
      <c r="A118" s="80" t="s">
        <v>37</v>
      </c>
      <c r="B118" s="79">
        <v>1</v>
      </c>
      <c r="C118" s="78" t="s">
        <v>55</v>
      </c>
      <c r="D118" s="78">
        <v>1</v>
      </c>
      <c r="E118" s="80"/>
      <c r="F118" s="80">
        <f>+(E118*B118)/D118</f>
        <v>0</v>
      </c>
    </row>
    <row r="119" spans="1:6">
      <c r="A119" s="80"/>
      <c r="B119" s="77"/>
      <c r="C119" s="77"/>
      <c r="D119" s="77"/>
      <c r="E119" s="76" t="s">
        <v>20</v>
      </c>
      <c r="F119" s="83">
        <f>+SUM(F117:F118)</f>
        <v>0</v>
      </c>
    </row>
    <row r="120" spans="1:6">
      <c r="A120" s="75"/>
      <c r="B120" s="75"/>
      <c r="C120" s="75"/>
      <c r="D120" s="75"/>
      <c r="E120" s="74" t="s">
        <v>17</v>
      </c>
      <c r="F120" s="73">
        <f>+F118*0.18</f>
        <v>0</v>
      </c>
    </row>
    <row r="121" spans="1:6" ht="15" thickBot="1"/>
    <row r="122" spans="1:6" ht="15" thickBot="1">
      <c r="A122" s="257" t="s">
        <v>93</v>
      </c>
      <c r="B122" s="258"/>
      <c r="C122" s="258"/>
      <c r="D122" s="258"/>
      <c r="E122" s="258"/>
      <c r="F122" s="259"/>
    </row>
    <row r="123" spans="1:6" ht="15.6">
      <c r="A123" s="71" t="s">
        <v>32</v>
      </c>
      <c r="B123" s="90" t="s">
        <v>33</v>
      </c>
      <c r="C123" s="91" t="s">
        <v>20</v>
      </c>
      <c r="D123" s="91" t="s">
        <v>34</v>
      </c>
      <c r="E123" s="92" t="s">
        <v>35</v>
      </c>
      <c r="F123" s="70" t="s">
        <v>36</v>
      </c>
    </row>
    <row r="124" spans="1:6">
      <c r="A124" s="80" t="s">
        <v>94</v>
      </c>
      <c r="B124" s="79">
        <v>6.6666666666666666E-2</v>
      </c>
      <c r="C124" s="78" t="s">
        <v>56</v>
      </c>
      <c r="D124" s="78">
        <v>0.55000000000000004</v>
      </c>
      <c r="E124" s="80"/>
      <c r="F124" s="80">
        <f>+(E124*B124)/D124</f>
        <v>0</v>
      </c>
    </row>
    <row r="125" spans="1:6">
      <c r="A125" s="72" t="s">
        <v>57</v>
      </c>
      <c r="B125" s="79">
        <v>1</v>
      </c>
      <c r="C125" s="78" t="s">
        <v>9</v>
      </c>
      <c r="D125" s="78">
        <v>1</v>
      </c>
      <c r="E125" s="80"/>
      <c r="F125" s="80">
        <f>+(E125*B125)/D125</f>
        <v>0</v>
      </c>
    </row>
    <row r="126" spans="1:6">
      <c r="A126" s="72" t="s">
        <v>58</v>
      </c>
      <c r="B126" s="79">
        <v>1</v>
      </c>
      <c r="C126" s="78" t="s">
        <v>9</v>
      </c>
      <c r="D126" s="78">
        <v>1</v>
      </c>
      <c r="E126" s="80"/>
      <c r="F126" s="80">
        <f>+(E126*B126)/D126</f>
        <v>0</v>
      </c>
    </row>
    <row r="127" spans="1:6">
      <c r="A127" s="72" t="s">
        <v>59</v>
      </c>
      <c r="B127" s="79">
        <v>1</v>
      </c>
      <c r="C127" s="78" t="s">
        <v>9</v>
      </c>
      <c r="D127" s="78">
        <v>1</v>
      </c>
      <c r="E127" s="80"/>
      <c r="F127" s="80">
        <f>+(E127*B127)/D127</f>
        <v>0</v>
      </c>
    </row>
    <row r="128" spans="1:6">
      <c r="A128" s="80"/>
      <c r="B128" s="77"/>
      <c r="C128" s="77"/>
      <c r="D128" s="77"/>
      <c r="E128" s="76" t="s">
        <v>60</v>
      </c>
      <c r="F128" s="83">
        <f>SUM(F124:F127)</f>
        <v>0</v>
      </c>
    </row>
    <row r="129" spans="1:6">
      <c r="A129" s="80"/>
      <c r="B129" s="77"/>
      <c r="C129" s="77"/>
      <c r="D129" s="77"/>
      <c r="E129" s="76" t="s">
        <v>17</v>
      </c>
      <c r="F129" s="69">
        <f>(F124+F125+F126)*0.18</f>
        <v>0</v>
      </c>
    </row>
    <row r="130" spans="1:6" ht="15" thickBot="1">
      <c r="A130" s="68"/>
      <c r="B130" s="88"/>
      <c r="C130" s="88"/>
      <c r="D130" s="88"/>
      <c r="E130" s="88"/>
      <c r="F130" s="88"/>
    </row>
    <row r="131" spans="1:6" ht="15" thickBot="1">
      <c r="A131" s="260" t="s">
        <v>134</v>
      </c>
      <c r="B131" s="261"/>
      <c r="C131" s="261"/>
      <c r="D131" s="261"/>
      <c r="E131" s="261"/>
      <c r="F131" s="262"/>
    </row>
    <row r="132" spans="1:6" ht="15.6">
      <c r="A132" s="63" t="s">
        <v>32</v>
      </c>
      <c r="B132" s="64" t="s">
        <v>33</v>
      </c>
      <c r="C132" s="65" t="s">
        <v>20</v>
      </c>
      <c r="D132" s="65" t="s">
        <v>34</v>
      </c>
      <c r="E132" s="66" t="s">
        <v>35</v>
      </c>
      <c r="F132" s="113" t="s">
        <v>36</v>
      </c>
    </row>
    <row r="133" spans="1:6">
      <c r="A133" s="119" t="s">
        <v>134</v>
      </c>
      <c r="B133" s="120">
        <v>1</v>
      </c>
      <c r="C133" s="120" t="s">
        <v>8</v>
      </c>
      <c r="D133" s="120">
        <v>1</v>
      </c>
      <c r="E133" s="129"/>
      <c r="F133" s="97">
        <f>E133*B133/D133</f>
        <v>0</v>
      </c>
    </row>
    <row r="134" spans="1:6">
      <c r="A134" s="119" t="s">
        <v>135</v>
      </c>
      <c r="B134" s="120">
        <v>1</v>
      </c>
      <c r="C134" s="120" t="s">
        <v>8</v>
      </c>
      <c r="D134" s="120">
        <v>1</v>
      </c>
      <c r="E134" s="129"/>
      <c r="F134" s="97">
        <f>E134*B134/D134</f>
        <v>0</v>
      </c>
    </row>
    <row r="135" spans="1:6">
      <c r="A135" s="131" t="s">
        <v>136</v>
      </c>
      <c r="B135" s="120">
        <v>1</v>
      </c>
      <c r="C135" s="120" t="s">
        <v>8</v>
      </c>
      <c r="D135" s="120">
        <v>1</v>
      </c>
      <c r="E135" s="129"/>
      <c r="F135" s="97">
        <f>E135*B135/D135</f>
        <v>0</v>
      </c>
    </row>
    <row r="136" spans="1:6">
      <c r="E136" s="121" t="s">
        <v>20</v>
      </c>
      <c r="F136" s="130">
        <f>SUM(F133:F135)</f>
        <v>0</v>
      </c>
    </row>
    <row r="137" spans="1:6">
      <c r="E137" s="121" t="s">
        <v>17</v>
      </c>
      <c r="F137" s="130">
        <f>+F136*0.18</f>
        <v>0</v>
      </c>
    </row>
    <row r="138" spans="1:6" ht="15" thickBot="1">
      <c r="E138" s="117"/>
      <c r="F138" s="118"/>
    </row>
    <row r="139" spans="1:6" ht="15" thickBot="1">
      <c r="A139" s="260" t="s">
        <v>137</v>
      </c>
      <c r="B139" s="261"/>
      <c r="C139" s="261"/>
      <c r="D139" s="261"/>
      <c r="E139" s="261"/>
      <c r="F139" s="262"/>
    </row>
    <row r="140" spans="1:6" ht="15.6">
      <c r="A140" s="63" t="s">
        <v>32</v>
      </c>
      <c r="B140" s="64" t="s">
        <v>33</v>
      </c>
      <c r="C140" s="65" t="s">
        <v>20</v>
      </c>
      <c r="D140" s="65" t="s">
        <v>34</v>
      </c>
      <c r="E140" s="66" t="s">
        <v>35</v>
      </c>
      <c r="F140" s="113" t="s">
        <v>36</v>
      </c>
    </row>
    <row r="141" spans="1:6">
      <c r="A141" s="119" t="s">
        <v>137</v>
      </c>
      <c r="B141" s="120">
        <v>1</v>
      </c>
      <c r="C141" s="120" t="s">
        <v>8</v>
      </c>
      <c r="D141" s="120">
        <v>1</v>
      </c>
      <c r="E141" s="129"/>
      <c r="F141" s="97">
        <f>E141*B141/D141</f>
        <v>0</v>
      </c>
    </row>
    <row r="142" spans="1:6">
      <c r="A142" s="119" t="s">
        <v>135</v>
      </c>
      <c r="B142" s="120">
        <v>1</v>
      </c>
      <c r="C142" s="120" t="s">
        <v>8</v>
      </c>
      <c r="D142" s="120">
        <v>1</v>
      </c>
      <c r="E142" s="129"/>
      <c r="F142" s="97">
        <f>E142*B142/D142</f>
        <v>0</v>
      </c>
    </row>
    <row r="143" spans="1:6">
      <c r="A143" s="131" t="s">
        <v>136</v>
      </c>
      <c r="B143" s="120">
        <v>1</v>
      </c>
      <c r="C143" s="120" t="s">
        <v>8</v>
      </c>
      <c r="D143" s="120">
        <v>1</v>
      </c>
      <c r="E143" s="129"/>
      <c r="F143" s="97">
        <f>E143*B143/D143</f>
        <v>0</v>
      </c>
    </row>
    <row r="144" spans="1:6">
      <c r="E144" s="121" t="s">
        <v>20</v>
      </c>
      <c r="F144" s="130">
        <f>SUM(F141:F143)</f>
        <v>0</v>
      </c>
    </row>
    <row r="145" spans="1:6">
      <c r="E145" s="121" t="s">
        <v>17</v>
      </c>
      <c r="F145" s="130">
        <f>+F144*0.18</f>
        <v>0</v>
      </c>
    </row>
    <row r="146" spans="1:6" ht="15" thickBot="1">
      <c r="A146" s="68"/>
      <c r="B146" s="88"/>
      <c r="C146" s="88"/>
      <c r="D146" s="88"/>
      <c r="E146" s="88"/>
      <c r="F146" s="88"/>
    </row>
    <row r="147" spans="1:6" ht="15" thickBot="1">
      <c r="A147" s="260" t="s">
        <v>138</v>
      </c>
      <c r="B147" s="261"/>
      <c r="C147" s="261"/>
      <c r="D147" s="261"/>
      <c r="E147" s="261"/>
      <c r="F147" s="262"/>
    </row>
    <row r="148" spans="1:6" ht="15.6">
      <c r="A148" s="63" t="s">
        <v>32</v>
      </c>
      <c r="B148" s="64" t="s">
        <v>33</v>
      </c>
      <c r="C148" s="65" t="s">
        <v>20</v>
      </c>
      <c r="D148" s="65" t="s">
        <v>34</v>
      </c>
      <c r="E148" s="66" t="s">
        <v>35</v>
      </c>
      <c r="F148" s="113" t="s">
        <v>36</v>
      </c>
    </row>
    <row r="149" spans="1:6" ht="27">
      <c r="A149" s="119" t="s">
        <v>138</v>
      </c>
      <c r="B149" s="120">
        <v>1</v>
      </c>
      <c r="C149" s="120" t="s">
        <v>8</v>
      </c>
      <c r="D149" s="120">
        <v>1</v>
      </c>
      <c r="E149" s="129"/>
      <c r="F149" s="97">
        <f>E149*B149/D149</f>
        <v>0</v>
      </c>
    </row>
    <row r="150" spans="1:6">
      <c r="A150" s="119" t="s">
        <v>135</v>
      </c>
      <c r="B150" s="120">
        <v>1</v>
      </c>
      <c r="C150" s="120" t="s">
        <v>8</v>
      </c>
      <c r="D150" s="120">
        <v>1</v>
      </c>
      <c r="E150" s="129"/>
      <c r="F150" s="97">
        <f>E150*B150/D150</f>
        <v>0</v>
      </c>
    </row>
    <row r="151" spans="1:6">
      <c r="A151" s="131" t="s">
        <v>136</v>
      </c>
      <c r="B151" s="120">
        <v>1</v>
      </c>
      <c r="C151" s="120" t="s">
        <v>8</v>
      </c>
      <c r="D151" s="120">
        <v>1</v>
      </c>
      <c r="E151" s="129"/>
      <c r="F151" s="97">
        <f>E151*B151/D151</f>
        <v>0</v>
      </c>
    </row>
    <row r="152" spans="1:6">
      <c r="E152" s="121" t="s">
        <v>20</v>
      </c>
      <c r="F152" s="130">
        <f>SUM(F149:F151)</f>
        <v>0</v>
      </c>
    </row>
    <row r="153" spans="1:6">
      <c r="E153" s="121" t="s">
        <v>17</v>
      </c>
      <c r="F153" s="130">
        <f>+F152*0.18</f>
        <v>0</v>
      </c>
    </row>
    <row r="154" spans="1:6" ht="15" thickBot="1">
      <c r="A154" s="68"/>
      <c r="B154" s="88"/>
      <c r="C154" s="88"/>
      <c r="D154" s="88"/>
      <c r="E154" s="88"/>
      <c r="F154" s="88"/>
    </row>
    <row r="155" spans="1:6" ht="15" thickBot="1">
      <c r="A155" s="260" t="s">
        <v>139</v>
      </c>
      <c r="B155" s="261"/>
      <c r="C155" s="261"/>
      <c r="D155" s="261"/>
      <c r="E155" s="261"/>
      <c r="F155" s="262"/>
    </row>
    <row r="156" spans="1:6" ht="15.6">
      <c r="A156" s="63" t="s">
        <v>32</v>
      </c>
      <c r="B156" s="64" t="s">
        <v>33</v>
      </c>
      <c r="C156" s="65" t="s">
        <v>20</v>
      </c>
      <c r="D156" s="65" t="s">
        <v>34</v>
      </c>
      <c r="E156" s="66" t="s">
        <v>35</v>
      </c>
      <c r="F156" s="113" t="s">
        <v>36</v>
      </c>
    </row>
    <row r="157" spans="1:6">
      <c r="A157" s="131" t="s">
        <v>140</v>
      </c>
      <c r="B157" s="120">
        <v>1</v>
      </c>
      <c r="C157" s="120" t="s">
        <v>74</v>
      </c>
      <c r="D157" s="120">
        <v>1</v>
      </c>
      <c r="E157" s="132"/>
      <c r="F157" s="97">
        <f t="shared" ref="F157:F164" si="2">E157*B157/D157</f>
        <v>0</v>
      </c>
    </row>
    <row r="158" spans="1:6">
      <c r="A158" s="131" t="s">
        <v>141</v>
      </c>
      <c r="B158" s="120">
        <v>1</v>
      </c>
      <c r="C158" s="120" t="s">
        <v>74</v>
      </c>
      <c r="D158" s="120">
        <v>1</v>
      </c>
      <c r="E158" s="132"/>
      <c r="F158" s="97">
        <f t="shared" si="2"/>
        <v>0</v>
      </c>
    </row>
    <row r="159" spans="1:6">
      <c r="A159" s="131" t="s">
        <v>142</v>
      </c>
      <c r="B159" s="120">
        <v>25</v>
      </c>
      <c r="C159" s="120" t="s">
        <v>119</v>
      </c>
      <c r="D159" s="120">
        <v>1</v>
      </c>
      <c r="E159" s="132"/>
      <c r="F159" s="97">
        <f t="shared" si="2"/>
        <v>0</v>
      </c>
    </row>
    <row r="160" spans="1:6">
      <c r="A160" s="131" t="s">
        <v>143</v>
      </c>
      <c r="B160" s="120">
        <v>1</v>
      </c>
      <c r="C160" s="120" t="s">
        <v>74</v>
      </c>
      <c r="D160" s="120">
        <v>1</v>
      </c>
      <c r="E160" s="132"/>
      <c r="F160" s="97">
        <f t="shared" si="2"/>
        <v>0</v>
      </c>
    </row>
    <row r="161" spans="1:6">
      <c r="A161" s="131" t="s">
        <v>144</v>
      </c>
      <c r="B161" s="120">
        <v>0.05</v>
      </c>
      <c r="C161" s="120" t="s">
        <v>74</v>
      </c>
      <c r="D161" s="120">
        <v>1</v>
      </c>
      <c r="E161" s="132"/>
      <c r="F161" s="97">
        <f t="shared" si="2"/>
        <v>0</v>
      </c>
    </row>
    <row r="162" spans="1:6">
      <c r="A162" s="131" t="s">
        <v>145</v>
      </c>
      <c r="B162" s="120">
        <v>1.2500000000000001E-2</v>
      </c>
      <c r="C162" s="120" t="s">
        <v>74</v>
      </c>
      <c r="D162" s="120">
        <v>1</v>
      </c>
      <c r="E162" s="132"/>
      <c r="F162" s="97">
        <f t="shared" si="2"/>
        <v>0</v>
      </c>
    </row>
    <row r="163" spans="1:6">
      <c r="A163" s="131" t="s">
        <v>146</v>
      </c>
      <c r="B163" s="120">
        <v>1</v>
      </c>
      <c r="C163" s="120" t="s">
        <v>74</v>
      </c>
      <c r="D163" s="120">
        <v>1</v>
      </c>
      <c r="E163" s="132"/>
      <c r="F163" s="97">
        <f t="shared" si="2"/>
        <v>0</v>
      </c>
    </row>
    <row r="164" spans="1:6">
      <c r="A164" s="131" t="s">
        <v>147</v>
      </c>
      <c r="B164" s="120">
        <v>1</v>
      </c>
      <c r="C164" s="120" t="s">
        <v>74</v>
      </c>
      <c r="D164" s="120">
        <v>1</v>
      </c>
      <c r="E164" s="129"/>
      <c r="F164" s="97">
        <f t="shared" si="2"/>
        <v>0</v>
      </c>
    </row>
    <row r="165" spans="1:6">
      <c r="A165" s="131" t="s">
        <v>148</v>
      </c>
      <c r="B165" s="120"/>
      <c r="C165" s="120"/>
      <c r="D165" s="120">
        <v>1</v>
      </c>
      <c r="E165" s="129"/>
      <c r="F165" s="97">
        <f>SUM(F157:F164)*E165</f>
        <v>0</v>
      </c>
    </row>
    <row r="166" spans="1:6">
      <c r="A166" s="131"/>
      <c r="B166" s="133"/>
      <c r="C166" s="120"/>
      <c r="D166" s="120"/>
      <c r="E166" s="121" t="s">
        <v>20</v>
      </c>
      <c r="F166" s="114">
        <f>SUM(F157:F165)</f>
        <v>0</v>
      </c>
    </row>
    <row r="167" spans="1:6">
      <c r="E167" s="115" t="s">
        <v>17</v>
      </c>
      <c r="F167" s="116">
        <f>+F166*0.18</f>
        <v>0</v>
      </c>
    </row>
    <row r="168" spans="1:6" ht="15" thickBot="1">
      <c r="A168" s="68"/>
      <c r="B168" s="88"/>
      <c r="C168" s="88"/>
      <c r="D168" s="88"/>
      <c r="E168" s="88"/>
      <c r="F168" s="88"/>
    </row>
    <row r="169" spans="1:6" ht="15" thickBot="1">
      <c r="A169" s="254" t="s">
        <v>150</v>
      </c>
      <c r="B169" s="255"/>
      <c r="C169" s="255"/>
      <c r="D169" s="255"/>
      <c r="E169" s="255"/>
      <c r="F169" s="256"/>
    </row>
    <row r="170" spans="1:6" ht="15.6">
      <c r="A170" s="63" t="s">
        <v>32</v>
      </c>
      <c r="B170" s="64" t="s">
        <v>33</v>
      </c>
      <c r="C170" s="65" t="s">
        <v>20</v>
      </c>
      <c r="D170" s="65" t="s">
        <v>34</v>
      </c>
      <c r="E170" s="66" t="s">
        <v>35</v>
      </c>
      <c r="F170" s="113" t="s">
        <v>36</v>
      </c>
    </row>
    <row r="171" spans="1:6" ht="27">
      <c r="A171" s="119" t="s">
        <v>150</v>
      </c>
      <c r="B171" s="120">
        <v>1</v>
      </c>
      <c r="C171" s="120" t="s">
        <v>8</v>
      </c>
      <c r="D171" s="120">
        <v>1</v>
      </c>
      <c r="E171" s="129"/>
      <c r="F171" s="97">
        <f>E171*B171/D171</f>
        <v>0</v>
      </c>
    </row>
    <row r="172" spans="1:6">
      <c r="A172" s="119" t="s">
        <v>135</v>
      </c>
      <c r="B172" s="120">
        <v>1</v>
      </c>
      <c r="C172" s="120" t="s">
        <v>8</v>
      </c>
      <c r="D172" s="120">
        <v>1</v>
      </c>
      <c r="E172" s="129"/>
      <c r="F172" s="97">
        <f>E172*B172/D172</f>
        <v>0</v>
      </c>
    </row>
    <row r="173" spans="1:6">
      <c r="A173" s="131" t="s">
        <v>136</v>
      </c>
      <c r="B173" s="120">
        <v>1</v>
      </c>
      <c r="C173" s="120" t="s">
        <v>8</v>
      </c>
      <c r="D173" s="120">
        <v>1</v>
      </c>
      <c r="E173" s="129"/>
      <c r="F173" s="97">
        <f>E173*B173/D173</f>
        <v>0</v>
      </c>
    </row>
    <row r="174" spans="1:6">
      <c r="E174" s="121" t="s">
        <v>20</v>
      </c>
      <c r="F174" s="130">
        <f>SUM(F171:F173)</f>
        <v>0</v>
      </c>
    </row>
    <row r="175" spans="1:6">
      <c r="E175" s="121" t="s">
        <v>17</v>
      </c>
      <c r="F175" s="130">
        <f>+F174*0.18</f>
        <v>0</v>
      </c>
    </row>
    <row r="176" spans="1:6" ht="15" thickBot="1">
      <c r="A176" s="68"/>
      <c r="B176" s="88"/>
      <c r="C176" s="88"/>
      <c r="D176" s="88"/>
      <c r="E176" s="88"/>
      <c r="F176" s="88"/>
    </row>
    <row r="177" spans="1:6" ht="15" thickBot="1">
      <c r="A177" s="260" t="s">
        <v>115</v>
      </c>
      <c r="B177" s="261"/>
      <c r="C177" s="261"/>
      <c r="D177" s="261"/>
      <c r="E177" s="261"/>
      <c r="F177" s="262"/>
    </row>
    <row r="178" spans="1:6" ht="15.6">
      <c r="A178" s="63" t="s">
        <v>32</v>
      </c>
      <c r="B178" s="64" t="s">
        <v>33</v>
      </c>
      <c r="C178" s="65" t="s">
        <v>20</v>
      </c>
      <c r="D178" s="65" t="s">
        <v>34</v>
      </c>
      <c r="E178" s="66" t="s">
        <v>35</v>
      </c>
      <c r="F178" s="113" t="s">
        <v>36</v>
      </c>
    </row>
    <row r="179" spans="1:6">
      <c r="A179" s="119" t="s">
        <v>115</v>
      </c>
      <c r="B179" s="120">
        <v>1</v>
      </c>
      <c r="C179" s="120" t="s">
        <v>8</v>
      </c>
      <c r="D179" s="120">
        <v>1</v>
      </c>
      <c r="E179" s="129"/>
      <c r="F179" s="97">
        <f>E179*B179/D179</f>
        <v>0</v>
      </c>
    </row>
    <row r="180" spans="1:6">
      <c r="E180" s="121" t="s">
        <v>20</v>
      </c>
      <c r="F180" s="130">
        <f>SUM(F179:F179)</f>
        <v>0</v>
      </c>
    </row>
    <row r="181" spans="1:6">
      <c r="E181" s="121" t="s">
        <v>17</v>
      </c>
      <c r="F181" s="130">
        <f>+F180*0.18</f>
        <v>0</v>
      </c>
    </row>
    <row r="182" spans="1:6" ht="15" thickBot="1"/>
    <row r="183" spans="1:6" ht="15" thickBot="1">
      <c r="A183" s="260" t="s">
        <v>133</v>
      </c>
      <c r="B183" s="261"/>
      <c r="C183" s="261"/>
      <c r="D183" s="261"/>
      <c r="E183" s="261"/>
      <c r="F183" s="262"/>
    </row>
    <row r="184" spans="1:6" ht="15.6">
      <c r="A184" s="63" t="s">
        <v>32</v>
      </c>
      <c r="B184" s="64" t="s">
        <v>33</v>
      </c>
      <c r="C184" s="65" t="s">
        <v>20</v>
      </c>
      <c r="D184" s="65" t="s">
        <v>34</v>
      </c>
      <c r="E184" s="66" t="s">
        <v>35</v>
      </c>
      <c r="F184" s="113" t="s">
        <v>36</v>
      </c>
    </row>
    <row r="185" spans="1:6">
      <c r="A185" s="119" t="s">
        <v>115</v>
      </c>
      <c r="B185" s="120">
        <v>1</v>
      </c>
      <c r="C185" s="120" t="s">
        <v>8</v>
      </c>
      <c r="D185" s="120">
        <v>1</v>
      </c>
      <c r="E185" s="129"/>
      <c r="F185" s="97">
        <f>E185*B185/D185</f>
        <v>0</v>
      </c>
    </row>
    <row r="186" spans="1:6">
      <c r="E186" s="121" t="s">
        <v>20</v>
      </c>
      <c r="F186" s="130">
        <f>SUM(F185:F185)</f>
        <v>0</v>
      </c>
    </row>
    <row r="187" spans="1:6">
      <c r="E187" s="121" t="s">
        <v>17</v>
      </c>
      <c r="F187" s="130">
        <f>+F186*0.18</f>
        <v>0</v>
      </c>
    </row>
    <row r="188" spans="1:6" ht="15" thickBot="1"/>
    <row r="189" spans="1:6" ht="15" thickBot="1">
      <c r="A189" s="260" t="s">
        <v>116</v>
      </c>
      <c r="B189" s="261"/>
      <c r="C189" s="261"/>
      <c r="D189" s="261"/>
      <c r="E189" s="261"/>
      <c r="F189" s="262"/>
    </row>
    <row r="190" spans="1:6" ht="15.6">
      <c r="A190" s="63" t="s">
        <v>32</v>
      </c>
      <c r="B190" s="64" t="s">
        <v>33</v>
      </c>
      <c r="C190" s="65" t="s">
        <v>20</v>
      </c>
      <c r="D190" s="65" t="s">
        <v>34</v>
      </c>
      <c r="E190" s="66" t="s">
        <v>35</v>
      </c>
      <c r="F190" s="113" t="s">
        <v>36</v>
      </c>
    </row>
    <row r="191" spans="1:6">
      <c r="A191" s="119" t="s">
        <v>116</v>
      </c>
      <c r="B191" s="120">
        <v>1</v>
      </c>
      <c r="C191" s="120" t="s">
        <v>8</v>
      </c>
      <c r="D191" s="120">
        <v>1</v>
      </c>
      <c r="E191" s="129"/>
      <c r="F191" s="97">
        <f>E191*B191/D191</f>
        <v>0</v>
      </c>
    </row>
    <row r="192" spans="1:6">
      <c r="E192" s="121" t="s">
        <v>20</v>
      </c>
      <c r="F192" s="130">
        <f>SUM(F191:F191)</f>
        <v>0</v>
      </c>
    </row>
    <row r="193" spans="1:6">
      <c r="E193" s="121" t="s">
        <v>17</v>
      </c>
      <c r="F193" s="130">
        <f>+F192*0.18</f>
        <v>0</v>
      </c>
    </row>
    <row r="194" spans="1:6" ht="15" thickBot="1"/>
    <row r="195" spans="1:6" ht="15" thickBot="1">
      <c r="A195" s="260" t="s">
        <v>117</v>
      </c>
      <c r="B195" s="261"/>
      <c r="C195" s="261"/>
      <c r="D195" s="261"/>
      <c r="E195" s="261"/>
      <c r="F195" s="262"/>
    </row>
    <row r="196" spans="1:6" ht="15.6">
      <c r="A196" s="63" t="s">
        <v>32</v>
      </c>
      <c r="B196" s="64" t="s">
        <v>33</v>
      </c>
      <c r="C196" s="65" t="s">
        <v>20</v>
      </c>
      <c r="D196" s="65" t="s">
        <v>34</v>
      </c>
      <c r="E196" s="66" t="s">
        <v>35</v>
      </c>
      <c r="F196" s="113" t="s">
        <v>36</v>
      </c>
    </row>
    <row r="197" spans="1:6">
      <c r="A197" s="119" t="s">
        <v>116</v>
      </c>
      <c r="B197" s="120">
        <v>1</v>
      </c>
      <c r="C197" s="120" t="s">
        <v>8</v>
      </c>
      <c r="D197" s="120">
        <v>1</v>
      </c>
      <c r="E197" s="129"/>
      <c r="F197" s="97">
        <f>E197*B197/D197</f>
        <v>0</v>
      </c>
    </row>
    <row r="198" spans="1:6">
      <c r="E198" s="121" t="s">
        <v>20</v>
      </c>
      <c r="F198" s="130">
        <f>SUM(F197:F197)</f>
        <v>0</v>
      </c>
    </row>
    <row r="199" spans="1:6">
      <c r="E199" s="121" t="s">
        <v>17</v>
      </c>
      <c r="F199" s="130">
        <f>+F198*0.18</f>
        <v>0</v>
      </c>
    </row>
    <row r="200" spans="1:6" ht="15" thickBot="1"/>
    <row r="201" spans="1:6" ht="15" thickBot="1">
      <c r="A201" s="260" t="s">
        <v>118</v>
      </c>
      <c r="B201" s="261"/>
      <c r="C201" s="261"/>
      <c r="D201" s="261"/>
      <c r="E201" s="261"/>
      <c r="F201" s="262"/>
    </row>
    <row r="202" spans="1:6" ht="15.6">
      <c r="A202" s="63" t="s">
        <v>32</v>
      </c>
      <c r="B202" s="64" t="s">
        <v>33</v>
      </c>
      <c r="C202" s="65" t="s">
        <v>20</v>
      </c>
      <c r="D202" s="65" t="s">
        <v>34</v>
      </c>
      <c r="E202" s="66" t="s">
        <v>35</v>
      </c>
      <c r="F202" s="113" t="s">
        <v>36</v>
      </c>
    </row>
    <row r="203" spans="1:6">
      <c r="A203" s="119" t="s">
        <v>118</v>
      </c>
      <c r="B203" s="120">
        <v>1</v>
      </c>
      <c r="C203" s="120" t="s">
        <v>8</v>
      </c>
      <c r="D203" s="120">
        <v>1</v>
      </c>
      <c r="E203" s="129"/>
      <c r="F203" s="97">
        <f>E203*B203/D203</f>
        <v>0</v>
      </c>
    </row>
    <row r="204" spans="1:6">
      <c r="E204" s="121" t="s">
        <v>20</v>
      </c>
      <c r="F204" s="130">
        <f>SUM(F203:F203)</f>
        <v>0</v>
      </c>
    </row>
    <row r="205" spans="1:6">
      <c r="E205" s="121" t="s">
        <v>17</v>
      </c>
      <c r="F205" s="130">
        <f>+F204*0.18</f>
        <v>0</v>
      </c>
    </row>
    <row r="206" spans="1:6" ht="15" thickBot="1"/>
    <row r="207" spans="1:6" ht="15" thickBot="1">
      <c r="A207" s="260" t="s">
        <v>120</v>
      </c>
      <c r="B207" s="261"/>
      <c r="C207" s="261"/>
      <c r="D207" s="261"/>
      <c r="E207" s="261"/>
      <c r="F207" s="262"/>
    </row>
    <row r="208" spans="1:6" ht="15.6">
      <c r="A208" s="63" t="s">
        <v>32</v>
      </c>
      <c r="B208" s="64" t="s">
        <v>33</v>
      </c>
      <c r="C208" s="65" t="s">
        <v>20</v>
      </c>
      <c r="D208" s="65" t="s">
        <v>34</v>
      </c>
      <c r="E208" s="66" t="s">
        <v>35</v>
      </c>
      <c r="F208" s="113" t="s">
        <v>36</v>
      </c>
    </row>
    <row r="209" spans="1:6">
      <c r="A209" s="119" t="s">
        <v>120</v>
      </c>
      <c r="B209" s="120">
        <v>1</v>
      </c>
      <c r="C209" s="120" t="s">
        <v>8</v>
      </c>
      <c r="D209" s="120">
        <v>1</v>
      </c>
      <c r="E209" s="129"/>
      <c r="F209" s="97">
        <f>E209*B209/D209</f>
        <v>0</v>
      </c>
    </row>
    <row r="210" spans="1:6">
      <c r="E210" s="121" t="s">
        <v>20</v>
      </c>
      <c r="F210" s="130">
        <f>SUM(F209:F209)</f>
        <v>0</v>
      </c>
    </row>
    <row r="211" spans="1:6">
      <c r="E211" s="121" t="s">
        <v>17</v>
      </c>
      <c r="F211" s="130">
        <f>+F210*0.18</f>
        <v>0</v>
      </c>
    </row>
    <row r="212" spans="1:6" ht="15" thickBot="1"/>
    <row r="213" spans="1:6" ht="15" thickBot="1">
      <c r="A213" s="260" t="s">
        <v>121</v>
      </c>
      <c r="B213" s="261"/>
      <c r="C213" s="261"/>
      <c r="D213" s="261"/>
      <c r="E213" s="261"/>
      <c r="F213" s="262"/>
    </row>
    <row r="214" spans="1:6" ht="15.6">
      <c r="A214" s="63" t="s">
        <v>32</v>
      </c>
      <c r="B214" s="64" t="s">
        <v>33</v>
      </c>
      <c r="C214" s="65" t="s">
        <v>20</v>
      </c>
      <c r="D214" s="65" t="s">
        <v>34</v>
      </c>
      <c r="E214" s="66" t="s">
        <v>35</v>
      </c>
      <c r="F214" s="113" t="s">
        <v>36</v>
      </c>
    </row>
    <row r="215" spans="1:6">
      <c r="A215" s="119" t="s">
        <v>121</v>
      </c>
      <c r="B215" s="120">
        <v>1</v>
      </c>
      <c r="C215" s="120" t="s">
        <v>8</v>
      </c>
      <c r="D215" s="120">
        <v>1</v>
      </c>
      <c r="E215" s="129"/>
      <c r="F215" s="97">
        <f>E215*B215/D215</f>
        <v>0</v>
      </c>
    </row>
    <row r="216" spans="1:6">
      <c r="E216" s="121" t="s">
        <v>20</v>
      </c>
      <c r="F216" s="130">
        <f>SUM(F215:F215)</f>
        <v>0</v>
      </c>
    </row>
    <row r="217" spans="1:6">
      <c r="E217" s="121" t="s">
        <v>17</v>
      </c>
      <c r="F217" s="130">
        <f>+F216*0.18</f>
        <v>0</v>
      </c>
    </row>
    <row r="218" spans="1:6" ht="15" thickBot="1"/>
    <row r="219" spans="1:6" ht="15" thickBot="1">
      <c r="A219" s="260" t="s">
        <v>122</v>
      </c>
      <c r="B219" s="261"/>
      <c r="C219" s="261"/>
      <c r="D219" s="261"/>
      <c r="E219" s="261"/>
      <c r="F219" s="262"/>
    </row>
    <row r="220" spans="1:6" ht="15.6">
      <c r="A220" s="63" t="s">
        <v>32</v>
      </c>
      <c r="B220" s="64" t="s">
        <v>33</v>
      </c>
      <c r="C220" s="65" t="s">
        <v>20</v>
      </c>
      <c r="D220" s="65" t="s">
        <v>34</v>
      </c>
      <c r="E220" s="66" t="s">
        <v>35</v>
      </c>
      <c r="F220" s="113" t="s">
        <v>36</v>
      </c>
    </row>
    <row r="221" spans="1:6">
      <c r="A221" s="119" t="s">
        <v>122</v>
      </c>
      <c r="B221" s="120">
        <v>1</v>
      </c>
      <c r="C221" s="120" t="s">
        <v>8</v>
      </c>
      <c r="D221" s="120">
        <v>1</v>
      </c>
      <c r="E221" s="129"/>
      <c r="F221" s="97">
        <f>E221*B221/D221</f>
        <v>0</v>
      </c>
    </row>
    <row r="222" spans="1:6">
      <c r="E222" s="121" t="s">
        <v>20</v>
      </c>
      <c r="F222" s="130">
        <f>SUM(F221:F221)</f>
        <v>0</v>
      </c>
    </row>
    <row r="223" spans="1:6">
      <c r="E223" s="121" t="s">
        <v>17</v>
      </c>
      <c r="F223" s="130">
        <f>+F222*0.18</f>
        <v>0</v>
      </c>
    </row>
    <row r="224" spans="1:6" ht="15" thickBot="1"/>
    <row r="225" spans="1:6" ht="15" thickBot="1">
      <c r="A225" s="260" t="s">
        <v>123</v>
      </c>
      <c r="B225" s="261"/>
      <c r="C225" s="261"/>
      <c r="D225" s="261"/>
      <c r="E225" s="261"/>
      <c r="F225" s="262"/>
    </row>
    <row r="226" spans="1:6" ht="15.6">
      <c r="A226" s="63" t="s">
        <v>32</v>
      </c>
      <c r="B226" s="64" t="s">
        <v>33</v>
      </c>
      <c r="C226" s="65" t="s">
        <v>20</v>
      </c>
      <c r="D226" s="65" t="s">
        <v>34</v>
      </c>
      <c r="E226" s="66" t="s">
        <v>35</v>
      </c>
      <c r="F226" s="113" t="s">
        <v>36</v>
      </c>
    </row>
    <row r="227" spans="1:6">
      <c r="A227" s="119" t="s">
        <v>123</v>
      </c>
      <c r="B227" s="120">
        <v>1</v>
      </c>
      <c r="C227" s="120" t="s">
        <v>8</v>
      </c>
      <c r="D227" s="120">
        <v>1</v>
      </c>
      <c r="E227" s="129"/>
      <c r="F227" s="97">
        <f>E227*B227/D227</f>
        <v>0</v>
      </c>
    </row>
    <row r="228" spans="1:6">
      <c r="E228" s="121" t="s">
        <v>20</v>
      </c>
      <c r="F228" s="130">
        <f>SUM(F227:F227)</f>
        <v>0</v>
      </c>
    </row>
    <row r="229" spans="1:6">
      <c r="E229" s="121" t="s">
        <v>17</v>
      </c>
      <c r="F229" s="130">
        <f>+F228*0.18</f>
        <v>0</v>
      </c>
    </row>
    <row r="230" spans="1:6" ht="15" thickBot="1"/>
    <row r="231" spans="1:6" ht="15" thickBot="1">
      <c r="A231" s="260" t="s">
        <v>124</v>
      </c>
      <c r="B231" s="261"/>
      <c r="C231" s="261"/>
      <c r="D231" s="261"/>
      <c r="E231" s="261"/>
      <c r="F231" s="262"/>
    </row>
    <row r="232" spans="1:6" ht="15.6">
      <c r="A232" s="63" t="s">
        <v>32</v>
      </c>
      <c r="B232" s="64" t="s">
        <v>33</v>
      </c>
      <c r="C232" s="65" t="s">
        <v>20</v>
      </c>
      <c r="D232" s="65" t="s">
        <v>34</v>
      </c>
      <c r="E232" s="66" t="s">
        <v>35</v>
      </c>
      <c r="F232" s="113" t="s">
        <v>36</v>
      </c>
    </row>
    <row r="233" spans="1:6">
      <c r="A233" s="119" t="s">
        <v>124</v>
      </c>
      <c r="B233" s="120">
        <v>1</v>
      </c>
      <c r="C233" s="120" t="s">
        <v>8</v>
      </c>
      <c r="D233" s="120">
        <v>1</v>
      </c>
      <c r="E233" s="129"/>
      <c r="F233" s="97">
        <f>E233*B233/D233</f>
        <v>0</v>
      </c>
    </row>
    <row r="234" spans="1:6">
      <c r="E234" s="121" t="s">
        <v>20</v>
      </c>
      <c r="F234" s="130">
        <f>SUM(F233:F233)</f>
        <v>0</v>
      </c>
    </row>
    <row r="235" spans="1:6">
      <c r="E235" s="121" t="s">
        <v>17</v>
      </c>
      <c r="F235" s="130">
        <f>+F234*0.18</f>
        <v>0</v>
      </c>
    </row>
    <row r="236" spans="1:6" ht="15" thickBot="1"/>
    <row r="237" spans="1:6" ht="15" thickBot="1">
      <c r="A237" s="260" t="s">
        <v>125</v>
      </c>
      <c r="B237" s="261"/>
      <c r="C237" s="261"/>
      <c r="D237" s="261"/>
      <c r="E237" s="261"/>
      <c r="F237" s="262"/>
    </row>
    <row r="238" spans="1:6" ht="15.6">
      <c r="A238" s="63" t="s">
        <v>32</v>
      </c>
      <c r="B238" s="64" t="s">
        <v>33</v>
      </c>
      <c r="C238" s="65" t="s">
        <v>20</v>
      </c>
      <c r="D238" s="65" t="s">
        <v>34</v>
      </c>
      <c r="E238" s="66" t="s">
        <v>35</v>
      </c>
      <c r="F238" s="113" t="s">
        <v>36</v>
      </c>
    </row>
    <row r="239" spans="1:6">
      <c r="A239" s="119" t="s">
        <v>125</v>
      </c>
      <c r="B239" s="120">
        <v>1</v>
      </c>
      <c r="C239" s="120" t="s">
        <v>8</v>
      </c>
      <c r="D239" s="120">
        <v>1</v>
      </c>
      <c r="E239" s="129"/>
      <c r="F239" s="97">
        <f>E239*B239/D239</f>
        <v>0</v>
      </c>
    </row>
    <row r="240" spans="1:6">
      <c r="E240" s="121" t="s">
        <v>20</v>
      </c>
      <c r="F240" s="130">
        <f>SUM(F239:F239)</f>
        <v>0</v>
      </c>
    </row>
    <row r="241" spans="1:6">
      <c r="E241" s="121" t="s">
        <v>17</v>
      </c>
      <c r="F241" s="130">
        <f>+F240*0.18</f>
        <v>0</v>
      </c>
    </row>
    <row r="242" spans="1:6" ht="15" thickBot="1"/>
    <row r="243" spans="1:6" ht="15" thickBot="1">
      <c r="A243" s="260" t="s">
        <v>126</v>
      </c>
      <c r="B243" s="261"/>
      <c r="C243" s="261"/>
      <c r="D243" s="261"/>
      <c r="E243" s="261"/>
      <c r="F243" s="262"/>
    </row>
    <row r="244" spans="1:6" ht="15.6">
      <c r="A244" s="63" t="s">
        <v>32</v>
      </c>
      <c r="B244" s="64" t="s">
        <v>33</v>
      </c>
      <c r="C244" s="65" t="s">
        <v>20</v>
      </c>
      <c r="D244" s="65" t="s">
        <v>34</v>
      </c>
      <c r="E244" s="66" t="s">
        <v>35</v>
      </c>
      <c r="F244" s="113" t="s">
        <v>36</v>
      </c>
    </row>
    <row r="245" spans="1:6">
      <c r="A245" s="119" t="s">
        <v>126</v>
      </c>
      <c r="B245" s="120">
        <v>1</v>
      </c>
      <c r="C245" s="120" t="s">
        <v>8</v>
      </c>
      <c r="D245" s="120">
        <v>1</v>
      </c>
      <c r="E245" s="129"/>
      <c r="F245" s="97">
        <f>E245*B245/D245</f>
        <v>0</v>
      </c>
    </row>
    <row r="246" spans="1:6">
      <c r="E246" s="121" t="s">
        <v>20</v>
      </c>
      <c r="F246" s="130">
        <f>SUM(F245:F245)</f>
        <v>0</v>
      </c>
    </row>
    <row r="247" spans="1:6">
      <c r="E247" s="121" t="s">
        <v>17</v>
      </c>
      <c r="F247" s="130">
        <f>+F246*0.18</f>
        <v>0</v>
      </c>
    </row>
    <row r="248" spans="1:6" ht="15" thickBot="1"/>
    <row r="249" spans="1:6" ht="15" thickBot="1">
      <c r="A249" s="260" t="s">
        <v>127</v>
      </c>
      <c r="B249" s="261"/>
      <c r="C249" s="261"/>
      <c r="D249" s="261"/>
      <c r="E249" s="261"/>
      <c r="F249" s="262"/>
    </row>
    <row r="250" spans="1:6" ht="15.6">
      <c r="A250" s="63" t="s">
        <v>32</v>
      </c>
      <c r="B250" s="64" t="s">
        <v>33</v>
      </c>
      <c r="C250" s="65" t="s">
        <v>20</v>
      </c>
      <c r="D250" s="65" t="s">
        <v>34</v>
      </c>
      <c r="E250" s="66" t="s">
        <v>35</v>
      </c>
      <c r="F250" s="113" t="s">
        <v>36</v>
      </c>
    </row>
    <row r="251" spans="1:6">
      <c r="A251" s="119" t="s">
        <v>127</v>
      </c>
      <c r="B251" s="120">
        <v>1</v>
      </c>
      <c r="C251" s="120" t="s">
        <v>8</v>
      </c>
      <c r="D251" s="120">
        <v>1</v>
      </c>
      <c r="E251" s="129"/>
      <c r="F251" s="97">
        <f>E251*B251/D251</f>
        <v>0</v>
      </c>
    </row>
    <row r="252" spans="1:6">
      <c r="E252" s="121" t="s">
        <v>20</v>
      </c>
      <c r="F252" s="130">
        <f>SUM(F251:F251)</f>
        <v>0</v>
      </c>
    </row>
    <row r="253" spans="1:6">
      <c r="E253" s="121" t="s">
        <v>17</v>
      </c>
      <c r="F253" s="130">
        <f>+F252*0.18</f>
        <v>0</v>
      </c>
    </row>
    <row r="254" spans="1:6" ht="15" thickBot="1"/>
    <row r="255" spans="1:6" ht="15" thickBot="1">
      <c r="A255" s="260" t="s">
        <v>128</v>
      </c>
      <c r="B255" s="261"/>
      <c r="C255" s="261"/>
      <c r="D255" s="261"/>
      <c r="E255" s="261"/>
      <c r="F255" s="262"/>
    </row>
    <row r="256" spans="1:6" ht="15.6">
      <c r="A256" s="63" t="s">
        <v>32</v>
      </c>
      <c r="B256" s="64" t="s">
        <v>33</v>
      </c>
      <c r="C256" s="65" t="s">
        <v>20</v>
      </c>
      <c r="D256" s="65" t="s">
        <v>34</v>
      </c>
      <c r="E256" s="66" t="s">
        <v>35</v>
      </c>
      <c r="F256" s="113" t="s">
        <v>36</v>
      </c>
    </row>
    <row r="257" spans="1:6">
      <c r="A257" s="119" t="s">
        <v>128</v>
      </c>
      <c r="B257" s="120">
        <v>1</v>
      </c>
      <c r="C257" s="120" t="s">
        <v>8</v>
      </c>
      <c r="D257" s="120">
        <v>1</v>
      </c>
      <c r="E257" s="129"/>
      <c r="F257" s="97">
        <f>E257*B257/D257</f>
        <v>0</v>
      </c>
    </row>
    <row r="258" spans="1:6">
      <c r="E258" s="121" t="s">
        <v>20</v>
      </c>
      <c r="F258" s="130">
        <f>SUM(F257:F257)</f>
        <v>0</v>
      </c>
    </row>
    <row r="259" spans="1:6">
      <c r="E259" s="121" t="s">
        <v>17</v>
      </c>
      <c r="F259" s="130">
        <f>+F258*0.18</f>
        <v>0</v>
      </c>
    </row>
    <row r="260" spans="1:6" ht="15" thickBot="1"/>
    <row r="261" spans="1:6" ht="15" thickBot="1">
      <c r="A261" s="260" t="s">
        <v>129</v>
      </c>
      <c r="B261" s="261"/>
      <c r="C261" s="261"/>
      <c r="D261" s="261"/>
      <c r="E261" s="261"/>
      <c r="F261" s="262"/>
    </row>
    <row r="262" spans="1:6" ht="15.6">
      <c r="A262" s="63" t="s">
        <v>32</v>
      </c>
      <c r="B262" s="64" t="s">
        <v>33</v>
      </c>
      <c r="C262" s="65" t="s">
        <v>20</v>
      </c>
      <c r="D262" s="65" t="s">
        <v>34</v>
      </c>
      <c r="E262" s="66" t="s">
        <v>35</v>
      </c>
      <c r="F262" s="113" t="s">
        <v>36</v>
      </c>
    </row>
    <row r="263" spans="1:6">
      <c r="A263" s="119" t="s">
        <v>129</v>
      </c>
      <c r="B263" s="120">
        <v>1</v>
      </c>
      <c r="C263" s="120" t="s">
        <v>8</v>
      </c>
      <c r="D263" s="120">
        <v>1</v>
      </c>
      <c r="E263" s="129"/>
      <c r="F263" s="97">
        <f>E263*B263/D263</f>
        <v>0</v>
      </c>
    </row>
    <row r="264" spans="1:6">
      <c r="E264" s="121" t="s">
        <v>20</v>
      </c>
      <c r="F264" s="130">
        <f>SUM(F263:F263)</f>
        <v>0</v>
      </c>
    </row>
    <row r="265" spans="1:6">
      <c r="E265" s="121" t="s">
        <v>17</v>
      </c>
      <c r="F265" s="130">
        <f>+F264*0.18</f>
        <v>0</v>
      </c>
    </row>
    <row r="266" spans="1:6" ht="15" thickBot="1"/>
    <row r="267" spans="1:6" ht="15" thickBot="1">
      <c r="A267" s="260" t="s">
        <v>132</v>
      </c>
      <c r="B267" s="261"/>
      <c r="C267" s="261"/>
      <c r="D267" s="261"/>
      <c r="E267" s="261"/>
      <c r="F267" s="262"/>
    </row>
    <row r="268" spans="1:6" ht="15.6">
      <c r="A268" s="63" t="s">
        <v>32</v>
      </c>
      <c r="B268" s="64" t="s">
        <v>33</v>
      </c>
      <c r="C268" s="65" t="s">
        <v>20</v>
      </c>
      <c r="D268" s="65" t="s">
        <v>34</v>
      </c>
      <c r="E268" s="66" t="s">
        <v>35</v>
      </c>
      <c r="F268" s="113" t="s">
        <v>36</v>
      </c>
    </row>
    <row r="269" spans="1:6" ht="40.200000000000003">
      <c r="A269" s="119" t="s">
        <v>130</v>
      </c>
      <c r="B269" s="120">
        <v>1</v>
      </c>
      <c r="C269" s="120" t="s">
        <v>8</v>
      </c>
      <c r="D269" s="120">
        <v>1</v>
      </c>
      <c r="E269" s="129"/>
      <c r="F269" s="97">
        <f>E269*B269/D269</f>
        <v>0</v>
      </c>
    </row>
    <row r="270" spans="1:6">
      <c r="E270" s="121" t="s">
        <v>20</v>
      </c>
      <c r="F270" s="130">
        <f>SUM(F269:F269)</f>
        <v>0</v>
      </c>
    </row>
    <row r="271" spans="1:6">
      <c r="E271" s="121" t="s">
        <v>17</v>
      </c>
      <c r="F271" s="130">
        <f>+F270*0.18</f>
        <v>0</v>
      </c>
    </row>
    <row r="272" spans="1:6" ht="15" thickBot="1"/>
    <row r="273" spans="1:6" ht="15" thickBot="1">
      <c r="A273" s="271" t="s">
        <v>41</v>
      </c>
      <c r="B273" s="272"/>
      <c r="C273" s="272"/>
      <c r="D273" s="272"/>
      <c r="E273" s="272"/>
      <c r="F273" s="273"/>
    </row>
    <row r="274" spans="1:6">
      <c r="A274" s="82" t="s">
        <v>32</v>
      </c>
      <c r="B274" s="105" t="s">
        <v>33</v>
      </c>
      <c r="C274" s="106" t="s">
        <v>20</v>
      </c>
      <c r="D274" s="106" t="s">
        <v>34</v>
      </c>
      <c r="E274" s="107" t="s">
        <v>35</v>
      </c>
      <c r="F274" s="81" t="s">
        <v>36</v>
      </c>
    </row>
    <row r="275" spans="1:6">
      <c r="A275" s="86" t="s">
        <v>42</v>
      </c>
      <c r="B275" s="85">
        <v>22</v>
      </c>
      <c r="C275" s="85" t="s">
        <v>43</v>
      </c>
      <c r="D275" s="87">
        <v>1</v>
      </c>
      <c r="E275" s="85"/>
      <c r="F275" s="84">
        <f>E275*B275/D275</f>
        <v>0</v>
      </c>
    </row>
    <row r="276" spans="1:6">
      <c r="A276" s="86" t="s">
        <v>44</v>
      </c>
      <c r="B276" s="85">
        <v>1</v>
      </c>
      <c r="C276" s="85" t="s">
        <v>45</v>
      </c>
      <c r="D276" s="87">
        <v>1</v>
      </c>
      <c r="E276" s="85"/>
      <c r="F276" s="85">
        <f>B276*E276</f>
        <v>0</v>
      </c>
    </row>
    <row r="277" spans="1:6">
      <c r="A277" s="108"/>
      <c r="B277" s="108"/>
      <c r="C277" s="108"/>
      <c r="D277" s="108"/>
      <c r="E277" s="76" t="s">
        <v>20</v>
      </c>
      <c r="F277" s="99">
        <f>SUM(F274:F276)</f>
        <v>0</v>
      </c>
    </row>
    <row r="278" spans="1:6">
      <c r="A278" s="108"/>
      <c r="B278" s="108"/>
      <c r="C278" s="108"/>
      <c r="D278" s="108"/>
      <c r="E278" s="76" t="s">
        <v>17</v>
      </c>
      <c r="F278" s="83">
        <f>+F277*0.18</f>
        <v>0</v>
      </c>
    </row>
  </sheetData>
  <mergeCells count="36">
    <mergeCell ref="A273:F273"/>
    <mergeCell ref="A58:F58"/>
    <mergeCell ref="A71:F71"/>
    <mergeCell ref="A115:F115"/>
    <mergeCell ref="A122:F122"/>
    <mergeCell ref="A108:F108"/>
    <mergeCell ref="A131:F131"/>
    <mergeCell ref="A139:F139"/>
    <mergeCell ref="A147:F147"/>
    <mergeCell ref="A261:F261"/>
    <mergeCell ref="A267:F267"/>
    <mergeCell ref="A219:F219"/>
    <mergeCell ref="A225:F225"/>
    <mergeCell ref="A231:F231"/>
    <mergeCell ref="A237:F237"/>
    <mergeCell ref="A155:F155"/>
    <mergeCell ref="A28:F28"/>
    <mergeCell ref="A36:F36"/>
    <mergeCell ref="A64:F64"/>
    <mergeCell ref="A12:F12"/>
    <mergeCell ref="A14:F14"/>
    <mergeCell ref="A21:F21"/>
    <mergeCell ref="A43:F43"/>
    <mergeCell ref="A169:F169"/>
    <mergeCell ref="A78:F78"/>
    <mergeCell ref="A249:F249"/>
    <mergeCell ref="A92:F92"/>
    <mergeCell ref="A255:F255"/>
    <mergeCell ref="A177:F177"/>
    <mergeCell ref="A195:F195"/>
    <mergeCell ref="A201:F201"/>
    <mergeCell ref="A207:F207"/>
    <mergeCell ref="A213:F213"/>
    <mergeCell ref="A183:F183"/>
    <mergeCell ref="A189:F189"/>
    <mergeCell ref="A243:F243"/>
  </mergeCells>
  <conditionalFormatting sqref="A122:E123">
    <cfRule type="containsBlanks" dxfId="7" priority="7">
      <formula>LEN(TRIM(A122))=0</formula>
    </cfRule>
  </conditionalFormatting>
  <conditionalFormatting sqref="A110:F111">
    <cfRule type="containsBlanks" dxfId="6" priority="1">
      <formula>LEN(TRIM(A110))=0</formula>
    </cfRule>
  </conditionalFormatting>
  <conditionalFormatting sqref="A117:F118">
    <cfRule type="containsBlanks" dxfId="5" priority="12">
      <formula>LEN(TRIM(A117))=0</formula>
    </cfRule>
  </conditionalFormatting>
  <conditionalFormatting sqref="A124:F129">
    <cfRule type="containsBlanks" dxfId="4" priority="5">
      <formula>LEN(TRIM(A124))=0</formula>
    </cfRule>
  </conditionalFormatting>
  <conditionalFormatting sqref="E108:F108">
    <cfRule type="containsBlanks" dxfId="3" priority="2">
      <formula>LEN(TRIM(E108))=0</formula>
    </cfRule>
  </conditionalFormatting>
  <conditionalFormatting sqref="E113:F113">
    <cfRule type="containsBlanks" dxfId="2" priority="3">
      <formula>LEN(TRIM(E113))=0</formula>
    </cfRule>
  </conditionalFormatting>
  <conditionalFormatting sqref="E115:F115">
    <cfRule type="containsBlanks" dxfId="1" priority="13">
      <formula>LEN(TRIM(E115))=0</formula>
    </cfRule>
  </conditionalFormatting>
  <conditionalFormatting sqref="E120:F120">
    <cfRule type="containsBlanks" dxfId="0" priority="14">
      <formula>LEN(TRIM(E120))=0</formula>
    </cfRule>
  </conditionalFormatting>
  <pageMargins left="0.7" right="0.7" top="0.75" bottom="0.75" header="0.3" footer="0.3"/>
  <pageSetup scale="7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7"/>
  <sheetViews>
    <sheetView workbookViewId="0">
      <selection activeCell="J20" sqref="J20"/>
    </sheetView>
  </sheetViews>
  <sheetFormatPr baseColWidth="10" defaultRowHeight="14.4"/>
  <sheetData>
    <row r="1" spans="1:3">
      <c r="A1" t="s">
        <v>62</v>
      </c>
    </row>
    <row r="2" spans="1:3">
      <c r="A2">
        <v>1.66</v>
      </c>
      <c r="C2">
        <f>+B2*A2</f>
        <v>0</v>
      </c>
    </row>
    <row r="3" spans="1:3">
      <c r="A3">
        <v>1.67</v>
      </c>
      <c r="C3">
        <f t="shared" ref="C3:C16" si="0">+B3*A3</f>
        <v>0</v>
      </c>
    </row>
    <row r="4" spans="1:3">
      <c r="A4">
        <v>2.56</v>
      </c>
      <c r="C4">
        <f t="shared" si="0"/>
        <v>0</v>
      </c>
    </row>
    <row r="5" spans="1:3">
      <c r="A5">
        <v>2.25</v>
      </c>
      <c r="C5">
        <f t="shared" si="0"/>
        <v>0</v>
      </c>
    </row>
    <row r="6" spans="1:3">
      <c r="A6">
        <v>2.81</v>
      </c>
      <c r="C6">
        <f t="shared" si="0"/>
        <v>0</v>
      </c>
    </row>
    <row r="7" spans="1:3">
      <c r="A7">
        <v>1.26</v>
      </c>
      <c r="C7">
        <f t="shared" si="0"/>
        <v>0</v>
      </c>
    </row>
    <row r="8" spans="1:3">
      <c r="C8">
        <f t="shared" si="0"/>
        <v>0</v>
      </c>
    </row>
    <row r="9" spans="1:3">
      <c r="C9">
        <f t="shared" si="0"/>
        <v>0</v>
      </c>
    </row>
    <row r="10" spans="1:3">
      <c r="C10">
        <f t="shared" si="0"/>
        <v>0</v>
      </c>
    </row>
    <row r="11" spans="1:3">
      <c r="C11">
        <f t="shared" si="0"/>
        <v>0</v>
      </c>
    </row>
    <row r="12" spans="1:3">
      <c r="C12">
        <f t="shared" si="0"/>
        <v>0</v>
      </c>
    </row>
    <row r="13" spans="1:3">
      <c r="C13">
        <f t="shared" si="0"/>
        <v>0</v>
      </c>
    </row>
    <row r="14" spans="1:3">
      <c r="C14">
        <f t="shared" si="0"/>
        <v>0</v>
      </c>
    </row>
    <row r="15" spans="1:3">
      <c r="C15">
        <f t="shared" si="0"/>
        <v>0</v>
      </c>
    </row>
    <row r="16" spans="1:3">
      <c r="C16">
        <f t="shared" si="0"/>
        <v>0</v>
      </c>
    </row>
    <row r="17" spans="1:3">
      <c r="C17">
        <f>SUM(C2:C16)</f>
        <v>0</v>
      </c>
    </row>
    <row r="22" spans="1:3">
      <c r="A22" t="s">
        <v>63</v>
      </c>
    </row>
    <row r="23" spans="1:3">
      <c r="A23">
        <v>110</v>
      </c>
    </row>
    <row r="25" spans="1:3">
      <c r="A25" t="s">
        <v>64</v>
      </c>
    </row>
    <row r="26" spans="1:3">
      <c r="A26">
        <v>249.16</v>
      </c>
      <c r="B26">
        <f>+A23-A26</f>
        <v>-139.16</v>
      </c>
    </row>
    <row r="28" spans="1:3">
      <c r="A28" t="s">
        <v>65</v>
      </c>
    </row>
    <row r="29" spans="1:3">
      <c r="A29">
        <f>+A26*0.6</f>
        <v>149.49599999999998</v>
      </c>
    </row>
    <row r="31" spans="1:3">
      <c r="A31" t="s">
        <v>25</v>
      </c>
      <c r="B31" t="s">
        <v>67</v>
      </c>
    </row>
    <row r="32" spans="1:3">
      <c r="A32">
        <v>1.56</v>
      </c>
      <c r="C32">
        <f>+B32*A32</f>
        <v>0</v>
      </c>
    </row>
    <row r="33" spans="1:3">
      <c r="A33">
        <v>3.37</v>
      </c>
      <c r="C33">
        <f t="shared" ref="C33:C50" si="1">+B33*A33</f>
        <v>0</v>
      </c>
    </row>
    <row r="34" spans="1:3">
      <c r="A34">
        <v>2.58</v>
      </c>
      <c r="C34">
        <f t="shared" si="1"/>
        <v>0</v>
      </c>
    </row>
    <row r="35" spans="1:3">
      <c r="A35">
        <v>3.84</v>
      </c>
      <c r="C35">
        <f t="shared" si="1"/>
        <v>0</v>
      </c>
    </row>
    <row r="36" spans="1:3">
      <c r="A36">
        <v>2.81</v>
      </c>
      <c r="C36">
        <f t="shared" si="1"/>
        <v>0</v>
      </c>
    </row>
    <row r="37" spans="1:3">
      <c r="A37">
        <v>2.81</v>
      </c>
      <c r="C37">
        <f t="shared" si="1"/>
        <v>0</v>
      </c>
    </row>
    <row r="38" spans="1:3">
      <c r="A38">
        <v>2.56</v>
      </c>
      <c r="C38">
        <f t="shared" si="1"/>
        <v>0</v>
      </c>
    </row>
    <row r="39" spans="1:3">
      <c r="A39">
        <v>2.56</v>
      </c>
      <c r="C39">
        <f t="shared" si="1"/>
        <v>0</v>
      </c>
    </row>
    <row r="40" spans="1:3">
      <c r="C40">
        <f t="shared" si="1"/>
        <v>0</v>
      </c>
    </row>
    <row r="41" spans="1:3">
      <c r="C41">
        <f t="shared" si="1"/>
        <v>0</v>
      </c>
    </row>
    <row r="42" spans="1:3">
      <c r="C42">
        <f t="shared" si="1"/>
        <v>0</v>
      </c>
    </row>
    <row r="43" spans="1:3">
      <c r="C43">
        <f t="shared" si="1"/>
        <v>0</v>
      </c>
    </row>
    <row r="44" spans="1:3">
      <c r="C44">
        <f t="shared" si="1"/>
        <v>0</v>
      </c>
    </row>
    <row r="45" spans="1:3">
      <c r="C45">
        <f t="shared" si="1"/>
        <v>0</v>
      </c>
    </row>
    <row r="46" spans="1:3">
      <c r="C46">
        <f t="shared" si="1"/>
        <v>0</v>
      </c>
    </row>
    <row r="47" spans="1:3">
      <c r="C47">
        <f t="shared" si="1"/>
        <v>0</v>
      </c>
    </row>
    <row r="48" spans="1:3">
      <c r="C48">
        <f t="shared" si="1"/>
        <v>0</v>
      </c>
    </row>
    <row r="49" spans="1:3">
      <c r="C49">
        <f t="shared" si="1"/>
        <v>0</v>
      </c>
    </row>
    <row r="50" spans="1:3">
      <c r="C50">
        <f t="shared" si="1"/>
        <v>0</v>
      </c>
    </row>
    <row r="51" spans="1:3">
      <c r="C51">
        <f>SUM(C32:C50)</f>
        <v>0</v>
      </c>
    </row>
    <row r="53" spans="1:3">
      <c r="A53" t="s">
        <v>91</v>
      </c>
    </row>
    <row r="54" spans="1:3">
      <c r="A54">
        <f>3.37*2</f>
        <v>6.74</v>
      </c>
      <c r="C54">
        <f>+B54*A54</f>
        <v>0</v>
      </c>
    </row>
    <row r="55" spans="1:3">
      <c r="A55">
        <v>1.56</v>
      </c>
      <c r="C55">
        <f t="shared" ref="C55:C66" si="2">+B55*A55</f>
        <v>0</v>
      </c>
    </row>
    <row r="56" spans="1:3">
      <c r="A56">
        <f>2.56*6</f>
        <v>15.36</v>
      </c>
      <c r="C56">
        <f t="shared" si="2"/>
        <v>0</v>
      </c>
    </row>
    <row r="57" spans="1:3">
      <c r="A57">
        <v>3.84</v>
      </c>
      <c r="C57">
        <f t="shared" si="2"/>
        <v>0</v>
      </c>
    </row>
    <row r="58" spans="1:3">
      <c r="A58">
        <f>2.15*2</f>
        <v>4.3</v>
      </c>
      <c r="C58">
        <f t="shared" si="2"/>
        <v>0</v>
      </c>
    </row>
    <row r="59" spans="1:3">
      <c r="A59">
        <f>2.81*4</f>
        <v>11.24</v>
      </c>
      <c r="C59">
        <f t="shared" si="2"/>
        <v>0</v>
      </c>
    </row>
    <row r="60" spans="1:3">
      <c r="A60">
        <f>3.3*2</f>
        <v>6.6</v>
      </c>
      <c r="C60">
        <f t="shared" si="2"/>
        <v>0</v>
      </c>
    </row>
    <row r="61" spans="1:3">
      <c r="A61">
        <v>1.26</v>
      </c>
      <c r="C61">
        <f t="shared" si="2"/>
        <v>0</v>
      </c>
    </row>
    <row r="62" spans="1:3">
      <c r="A62">
        <f>1.2*2</f>
        <v>2.4</v>
      </c>
      <c r="C62">
        <f t="shared" si="2"/>
        <v>0</v>
      </c>
    </row>
    <row r="63" spans="1:3">
      <c r="A63">
        <f>3.91*2</f>
        <v>7.82</v>
      </c>
      <c r="C63">
        <f t="shared" si="2"/>
        <v>0</v>
      </c>
    </row>
    <row r="64" spans="1:3">
      <c r="A64">
        <v>9.65</v>
      </c>
      <c r="C64">
        <f t="shared" si="2"/>
        <v>0</v>
      </c>
    </row>
    <row r="65" spans="1:3">
      <c r="A65">
        <v>10.15</v>
      </c>
      <c r="C65">
        <f t="shared" si="2"/>
        <v>0</v>
      </c>
    </row>
    <row r="66" spans="1:3">
      <c r="A66">
        <f>2.54*2</f>
        <v>5.08</v>
      </c>
      <c r="C66">
        <f t="shared" si="2"/>
        <v>0</v>
      </c>
    </row>
    <row r="67" spans="1:3">
      <c r="C67">
        <f>SUM(C54:C66)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N42"/>
  <sheetViews>
    <sheetView workbookViewId="0">
      <selection activeCell="M21" sqref="M21"/>
    </sheetView>
  </sheetViews>
  <sheetFormatPr baseColWidth="10" defaultRowHeight="14.4"/>
  <cols>
    <col min="4" max="4" width="13.6640625" bestFit="1" customWidth="1"/>
  </cols>
  <sheetData>
    <row r="3" spans="2:11">
      <c r="B3" t="s">
        <v>0</v>
      </c>
      <c r="F3" t="s">
        <v>10</v>
      </c>
      <c r="I3" t="s">
        <v>25</v>
      </c>
    </row>
    <row r="4" spans="2:11">
      <c r="B4">
        <v>1.5</v>
      </c>
      <c r="C4">
        <v>2.72</v>
      </c>
      <c r="D4">
        <f>+C4*B4</f>
        <v>4.08</v>
      </c>
      <c r="F4">
        <v>2.2999999999999998</v>
      </c>
      <c r="G4">
        <f t="shared" ref="G4:G20" si="0">+F4*(2.1+0.6)</f>
        <v>6.21</v>
      </c>
      <c r="I4">
        <v>2</v>
      </c>
      <c r="J4">
        <v>2.72</v>
      </c>
      <c r="K4">
        <f>+J4*I4</f>
        <v>5.44</v>
      </c>
    </row>
    <row r="5" spans="2:11">
      <c r="B5">
        <v>1.4</v>
      </c>
      <c r="C5">
        <v>2.72</v>
      </c>
      <c r="D5">
        <f t="shared" ref="D5:D10" si="1">+C5*B5</f>
        <v>3.8079999999999998</v>
      </c>
      <c r="F5">
        <v>1.8</v>
      </c>
      <c r="G5">
        <f t="shared" si="0"/>
        <v>4.8600000000000003</v>
      </c>
      <c r="I5">
        <v>2.9</v>
      </c>
      <c r="J5">
        <v>2.72</v>
      </c>
      <c r="K5">
        <f t="shared" ref="K5:K25" si="2">+J5*I5</f>
        <v>7.8879999999999999</v>
      </c>
    </row>
    <row r="6" spans="2:11">
      <c r="F6">
        <v>3.3</v>
      </c>
      <c r="G6">
        <f t="shared" si="0"/>
        <v>8.91</v>
      </c>
      <c r="I6">
        <v>2.9</v>
      </c>
      <c r="J6">
        <v>2.72</v>
      </c>
      <c r="K6">
        <f t="shared" si="2"/>
        <v>7.8879999999999999</v>
      </c>
    </row>
    <row r="7" spans="2:11">
      <c r="F7">
        <v>2.4</v>
      </c>
      <c r="G7">
        <f t="shared" si="0"/>
        <v>6.48</v>
      </c>
      <c r="I7">
        <v>2.9</v>
      </c>
      <c r="J7">
        <v>2.72</v>
      </c>
      <c r="K7">
        <f t="shared" si="2"/>
        <v>7.8879999999999999</v>
      </c>
    </row>
    <row r="8" spans="2:11">
      <c r="C8">
        <v>2.72</v>
      </c>
      <c r="D8">
        <f t="shared" si="1"/>
        <v>0</v>
      </c>
      <c r="F8">
        <v>2.7</v>
      </c>
      <c r="G8">
        <f t="shared" si="0"/>
        <v>7.2900000000000009</v>
      </c>
      <c r="I8">
        <v>7.6</v>
      </c>
      <c r="J8">
        <v>2.72</v>
      </c>
      <c r="K8">
        <f t="shared" si="2"/>
        <v>20.672000000000001</v>
      </c>
    </row>
    <row r="9" spans="2:11">
      <c r="C9">
        <v>2.72</v>
      </c>
      <c r="D9">
        <f t="shared" si="1"/>
        <v>0</v>
      </c>
      <c r="F9">
        <v>3.5</v>
      </c>
      <c r="G9">
        <f t="shared" si="0"/>
        <v>9.4500000000000011</v>
      </c>
      <c r="I9">
        <v>7.6</v>
      </c>
      <c r="J9">
        <v>2.72</v>
      </c>
      <c r="K9">
        <f t="shared" si="2"/>
        <v>20.672000000000001</v>
      </c>
    </row>
    <row r="10" spans="2:11">
      <c r="C10">
        <v>2.72</v>
      </c>
      <c r="D10">
        <f t="shared" si="1"/>
        <v>0</v>
      </c>
      <c r="F10">
        <v>2.6</v>
      </c>
      <c r="G10">
        <f t="shared" si="0"/>
        <v>7.0200000000000005</v>
      </c>
      <c r="I10">
        <v>7.6</v>
      </c>
      <c r="J10">
        <v>2.72</v>
      </c>
      <c r="K10">
        <f t="shared" si="2"/>
        <v>20.672000000000001</v>
      </c>
    </row>
    <row r="11" spans="2:11">
      <c r="D11" s="2">
        <f>SUM(D4:D10)</f>
        <v>7.8879999999999999</v>
      </c>
      <c r="F11">
        <v>3.3</v>
      </c>
      <c r="G11">
        <f t="shared" si="0"/>
        <v>8.91</v>
      </c>
      <c r="I11">
        <v>5.6</v>
      </c>
      <c r="J11">
        <v>2.72</v>
      </c>
      <c r="K11">
        <f t="shared" si="2"/>
        <v>15.231999999999999</v>
      </c>
    </row>
    <row r="12" spans="2:11">
      <c r="D12" s="2">
        <f>+D11*(3.28*3.28)</f>
        <v>84.862259199999983</v>
      </c>
      <c r="F12">
        <v>3.9</v>
      </c>
      <c r="G12">
        <f t="shared" si="0"/>
        <v>10.530000000000001</v>
      </c>
      <c r="I12">
        <v>0.8</v>
      </c>
      <c r="J12">
        <v>2.72</v>
      </c>
      <c r="K12">
        <f t="shared" si="2"/>
        <v>2.1760000000000002</v>
      </c>
    </row>
    <row r="13" spans="2:11">
      <c r="D13" s="1">
        <f>+D12*1200</f>
        <v>101834.71103999998</v>
      </c>
      <c r="E13" t="s">
        <v>1</v>
      </c>
      <c r="F13">
        <v>3.5</v>
      </c>
      <c r="G13">
        <f t="shared" si="0"/>
        <v>9.4500000000000011</v>
      </c>
      <c r="I13">
        <v>0.9</v>
      </c>
      <c r="J13">
        <v>2.72</v>
      </c>
      <c r="K13">
        <f t="shared" si="2"/>
        <v>2.4480000000000004</v>
      </c>
    </row>
    <row r="14" spans="2:11">
      <c r="F14">
        <v>0.4</v>
      </c>
      <c r="G14">
        <f t="shared" si="0"/>
        <v>1.08</v>
      </c>
      <c r="I14">
        <v>2.2000000000000002</v>
      </c>
      <c r="J14">
        <v>2.72</v>
      </c>
      <c r="K14">
        <f t="shared" si="2"/>
        <v>5.9840000000000009</v>
      </c>
    </row>
    <row r="15" spans="2:11">
      <c r="D15" s="1">
        <f>+D12*950</f>
        <v>80619.146239999987</v>
      </c>
      <c r="E15" t="s">
        <v>2</v>
      </c>
      <c r="F15">
        <v>0.6</v>
      </c>
      <c r="G15">
        <f t="shared" si="0"/>
        <v>1.62</v>
      </c>
      <c r="I15">
        <v>3.1</v>
      </c>
      <c r="J15">
        <v>2.72</v>
      </c>
      <c r="K15">
        <f t="shared" si="2"/>
        <v>8.4320000000000004</v>
      </c>
    </row>
    <row r="16" spans="2:11">
      <c r="F16">
        <v>3.5</v>
      </c>
      <c r="G16">
        <f t="shared" si="0"/>
        <v>9.4500000000000011</v>
      </c>
      <c r="I16">
        <v>1.6</v>
      </c>
      <c r="J16">
        <v>2.72</v>
      </c>
      <c r="K16">
        <f t="shared" si="2"/>
        <v>4.3520000000000003</v>
      </c>
    </row>
    <row r="17" spans="6:11">
      <c r="F17">
        <v>1.9</v>
      </c>
      <c r="G17">
        <f t="shared" si="0"/>
        <v>5.13</v>
      </c>
      <c r="I17">
        <v>1.1000000000000001</v>
      </c>
      <c r="J17">
        <v>2.72</v>
      </c>
      <c r="K17">
        <f t="shared" si="2"/>
        <v>2.9920000000000004</v>
      </c>
    </row>
    <row r="18" spans="6:11">
      <c r="F18">
        <v>3.5</v>
      </c>
      <c r="G18">
        <f t="shared" si="0"/>
        <v>9.4500000000000011</v>
      </c>
      <c r="I18">
        <v>0.8</v>
      </c>
      <c r="J18">
        <v>2.72</v>
      </c>
      <c r="K18">
        <f t="shared" si="2"/>
        <v>2.1760000000000002</v>
      </c>
    </row>
    <row r="19" spans="6:11">
      <c r="F19">
        <v>3.5</v>
      </c>
      <c r="G19">
        <f t="shared" si="0"/>
        <v>9.4500000000000011</v>
      </c>
      <c r="I19">
        <v>0.9</v>
      </c>
      <c r="J19">
        <v>2.72</v>
      </c>
      <c r="K19">
        <f t="shared" si="2"/>
        <v>2.4480000000000004</v>
      </c>
    </row>
    <row r="20" spans="6:11">
      <c r="F20">
        <v>2</v>
      </c>
      <c r="G20">
        <f t="shared" si="0"/>
        <v>5.4</v>
      </c>
      <c r="I20">
        <v>1.8</v>
      </c>
      <c r="J20">
        <v>2.72</v>
      </c>
      <c r="K20">
        <f t="shared" si="2"/>
        <v>4.8960000000000008</v>
      </c>
    </row>
    <row r="21" spans="6:11">
      <c r="F21">
        <v>2.1</v>
      </c>
      <c r="G21">
        <f>+F21*(2.1+0.6)</f>
        <v>5.6700000000000008</v>
      </c>
      <c r="I21">
        <v>1.2</v>
      </c>
      <c r="J21">
        <v>2.72</v>
      </c>
      <c r="K21">
        <f t="shared" si="2"/>
        <v>3.2640000000000002</v>
      </c>
    </row>
    <row r="22" spans="6:11">
      <c r="G22">
        <f>SUM(G4:G21)</f>
        <v>126.36000000000003</v>
      </c>
      <c r="I22">
        <v>1.4</v>
      </c>
      <c r="J22">
        <v>2.72</v>
      </c>
      <c r="K22">
        <f t="shared" si="2"/>
        <v>3.8079999999999998</v>
      </c>
    </row>
    <row r="23" spans="6:11">
      <c r="I23">
        <v>1.4</v>
      </c>
      <c r="J23">
        <v>2.72</v>
      </c>
      <c r="K23">
        <f t="shared" si="2"/>
        <v>3.8079999999999998</v>
      </c>
    </row>
    <row r="24" spans="6:11">
      <c r="I24">
        <v>1.2</v>
      </c>
      <c r="J24">
        <v>2.72</v>
      </c>
      <c r="K24">
        <f t="shared" si="2"/>
        <v>3.2640000000000002</v>
      </c>
    </row>
    <row r="25" spans="6:11">
      <c r="I25">
        <v>1.2</v>
      </c>
      <c r="J25">
        <v>2.72</v>
      </c>
      <c r="K25">
        <f t="shared" si="2"/>
        <v>3.2640000000000002</v>
      </c>
    </row>
    <row r="26" spans="6:11">
      <c r="I26">
        <v>1.5</v>
      </c>
      <c r="J26">
        <v>2.72</v>
      </c>
      <c r="K26">
        <f>+J26*I26</f>
        <v>4.08</v>
      </c>
    </row>
    <row r="27" spans="6:11">
      <c r="I27">
        <v>1.4</v>
      </c>
      <c r="J27">
        <v>2.72</v>
      </c>
      <c r="K27">
        <f>+J27*I27</f>
        <v>3.8079999999999998</v>
      </c>
    </row>
    <row r="28" spans="6:11">
      <c r="I28">
        <v>2.2000000000000002</v>
      </c>
      <c r="J28">
        <v>2.72</v>
      </c>
      <c r="K28">
        <f>+J28*I28</f>
        <v>5.9840000000000009</v>
      </c>
    </row>
    <row r="29" spans="6:11">
      <c r="I29">
        <v>0.9</v>
      </c>
      <c r="J29">
        <v>2.72</v>
      </c>
      <c r="K29">
        <f>+J29*I29</f>
        <v>2.4480000000000004</v>
      </c>
    </row>
    <row r="30" spans="6:11">
      <c r="I30">
        <v>0.9</v>
      </c>
      <c r="J30">
        <v>2.72</v>
      </c>
      <c r="K30">
        <f>+J30*I30</f>
        <v>2.4480000000000004</v>
      </c>
    </row>
    <row r="31" spans="6:11">
      <c r="K31">
        <f>SUM(K4:K30)</f>
        <v>178.43200000000002</v>
      </c>
    </row>
    <row r="39" spans="3:14">
      <c r="M39">
        <v>2800</v>
      </c>
      <c r="N39" t="s">
        <v>3</v>
      </c>
    </row>
    <row r="42" spans="3:14">
      <c r="C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PRESUPUESTO FINAL</vt:lpstr>
      <vt:lpstr>VOLUMENES</vt:lpstr>
      <vt:lpstr>APU</vt:lpstr>
      <vt:lpstr>MEMORIA CALCULO</vt:lpstr>
      <vt:lpstr>Hoja1</vt:lpstr>
      <vt:lpstr>APU!Área_de_impresión</vt:lpstr>
      <vt:lpstr>'PRESUPUESTO FINAL'!Área_de_impresión</vt:lpstr>
      <vt:lpstr>APU!Títulos_a_imprimir</vt:lpstr>
      <vt:lpstr>'PRESUPUESTO FINAL'!Títulos_a_imprimir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Ramon</dc:creator>
  <cp:lastModifiedBy>Usuario</cp:lastModifiedBy>
  <cp:lastPrinted>2024-07-26T15:49:28Z</cp:lastPrinted>
  <dcterms:created xsi:type="dcterms:W3CDTF">2022-06-07T00:48:22Z</dcterms:created>
  <dcterms:modified xsi:type="dcterms:W3CDTF">2024-11-10T22:25:46Z</dcterms:modified>
</cp:coreProperties>
</file>